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0275" yWindow="-195" windowWidth="10200" windowHeight="8100" tabRatio="786" firstSheet="1" activeTab="1"/>
  </bookViews>
  <sheets>
    <sheet name="materiaux" sheetId="2" r:id="rId1"/>
    <sheet name="Détail coût" sheetId="1" r:id="rId2"/>
    <sheet name="fer" sheetId="3" r:id="rId3"/>
    <sheet name="bois" sheetId="4" state="hidden" r:id="rId4"/>
    <sheet name="bois2" sheetId="5" state="hidden" r:id="rId5"/>
  </sheets>
  <definedNames>
    <definedName name="_xlnm._FilterDatabase" localSheetId="1" hidden="1">'Détail coût'!$B$4:$L$151</definedName>
    <definedName name="_xlnm.Print_Area" localSheetId="1">'Détail coût'!$B$3:$Q$150</definedName>
  </definedNames>
  <calcPr calcId="125725"/>
</workbook>
</file>

<file path=xl/calcChain.xml><?xml version="1.0" encoding="utf-8"?>
<calcChain xmlns="http://schemas.openxmlformats.org/spreadsheetml/2006/main">
  <c r="H189" i="1"/>
  <c r="H134"/>
  <c r="H139"/>
  <c r="F191"/>
  <c r="F197"/>
  <c r="F196"/>
  <c r="F195"/>
  <c r="F194"/>
  <c r="F193"/>
  <c r="F192"/>
  <c r="H165"/>
  <c r="H166"/>
  <c r="H164"/>
  <c r="H163"/>
  <c r="H162"/>
  <c r="D146"/>
  <c r="D145"/>
  <c r="D144"/>
  <c r="D143"/>
  <c r="N153" i="2"/>
  <c r="N155"/>
  <c r="H150"/>
  <c r="N145"/>
  <c r="N147"/>
  <c r="H142"/>
  <c r="L142"/>
  <c r="C50" i="3"/>
  <c r="D45"/>
  <c r="D196" i="1"/>
  <c r="D192"/>
  <c r="D193"/>
  <c r="D194"/>
  <c r="D195"/>
  <c r="D191"/>
  <c r="H133"/>
  <c r="H135"/>
  <c r="H137"/>
  <c r="H8"/>
  <c r="H140"/>
  <c r="H136"/>
  <c r="D109"/>
  <c r="D108"/>
  <c r="D107"/>
  <c r="D106"/>
  <c r="C106"/>
  <c r="B106"/>
  <c r="D124"/>
  <c r="D123"/>
  <c r="D122"/>
  <c r="C122"/>
  <c r="B122"/>
  <c r="D119"/>
  <c r="D118"/>
  <c r="D117"/>
  <c r="C117"/>
  <c r="B117"/>
  <c r="F33"/>
  <c r="F180"/>
  <c r="H180"/>
  <c r="D67"/>
  <c r="D66"/>
  <c r="D65"/>
  <c r="D64"/>
  <c r="C64"/>
  <c r="B64"/>
  <c r="D49" i="3"/>
  <c r="C46"/>
  <c r="C12"/>
  <c r="C13"/>
  <c r="E13"/>
  <c r="G13"/>
  <c r="K13"/>
  <c r="L13"/>
  <c r="A24"/>
  <c r="H22" i="1"/>
  <c r="H148"/>
  <c r="H195"/>
  <c r="O158" i="2"/>
  <c r="N87"/>
  <c r="N89"/>
  <c r="H75"/>
  <c r="K75"/>
  <c r="H122"/>
  <c r="I122"/>
  <c r="N116"/>
  <c r="N118"/>
  <c r="H113"/>
  <c r="L113"/>
  <c r="L116"/>
  <c r="D94"/>
  <c r="E94"/>
  <c r="N78"/>
  <c r="N80"/>
  <c r="H74"/>
  <c r="L74"/>
  <c r="H55"/>
  <c r="L55"/>
  <c r="M55"/>
  <c r="E16"/>
  <c r="H13"/>
  <c r="F6" i="1"/>
  <c r="H6" s="1"/>
  <c r="H9" s="1"/>
  <c r="E84" i="2"/>
  <c r="E83"/>
  <c r="E66"/>
  <c r="E65"/>
  <c r="H168" i="1"/>
  <c r="H169"/>
  <c r="H170"/>
  <c r="H171"/>
  <c r="H172"/>
  <c r="H167"/>
  <c r="H161"/>
  <c r="H160"/>
  <c r="H158"/>
  <c r="H157"/>
  <c r="H156"/>
  <c r="H155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43" i="3"/>
  <c r="C40"/>
  <c r="E40"/>
  <c r="G40"/>
  <c r="K40"/>
  <c r="L40"/>
  <c r="C37"/>
  <c r="C33"/>
  <c r="E33"/>
  <c r="G33"/>
  <c r="K33"/>
  <c r="L33"/>
  <c r="H147" i="1"/>
  <c r="D73"/>
  <c r="D94"/>
  <c r="D93"/>
  <c r="D92"/>
  <c r="D91"/>
  <c r="C91"/>
  <c r="B91"/>
  <c r="D81"/>
  <c r="D80"/>
  <c r="D79"/>
  <c r="D78"/>
  <c r="C78"/>
  <c r="B78"/>
  <c r="D72"/>
  <c r="D71"/>
  <c r="D70"/>
  <c r="C70"/>
  <c r="B70"/>
  <c r="D55"/>
  <c r="D54"/>
  <c r="D53"/>
  <c r="D52"/>
  <c r="C52"/>
  <c r="B52"/>
  <c r="C36"/>
  <c r="B36"/>
  <c r="D39"/>
  <c r="D38"/>
  <c r="D37"/>
  <c r="D36"/>
  <c r="D33"/>
  <c r="D32"/>
  <c r="D31"/>
  <c r="D30"/>
  <c r="D27"/>
  <c r="D26"/>
  <c r="D25"/>
  <c r="D24"/>
  <c r="E43" i="3"/>
  <c r="G43"/>
  <c r="K43"/>
  <c r="L43"/>
  <c r="L42"/>
  <c r="E42"/>
  <c r="G42"/>
  <c r="H42"/>
  <c r="I42"/>
  <c r="L41"/>
  <c r="L39"/>
  <c r="E39"/>
  <c r="G39"/>
  <c r="H39"/>
  <c r="I39"/>
  <c r="L38"/>
  <c r="E37"/>
  <c r="G37"/>
  <c r="K37"/>
  <c r="L37"/>
  <c r="L36"/>
  <c r="E36"/>
  <c r="G36"/>
  <c r="H36"/>
  <c r="I36"/>
  <c r="L35"/>
  <c r="E35"/>
  <c r="G35"/>
  <c r="H35"/>
  <c r="I35"/>
  <c r="L34"/>
  <c r="L32"/>
  <c r="E32"/>
  <c r="G32"/>
  <c r="H32"/>
  <c r="I32"/>
  <c r="L31"/>
  <c r="E31"/>
  <c r="G31"/>
  <c r="H31"/>
  <c r="I31"/>
  <c r="L30"/>
  <c r="L28"/>
  <c r="L27"/>
  <c r="L26"/>
  <c r="L24"/>
  <c r="L23"/>
  <c r="L22"/>
  <c r="L20"/>
  <c r="L19"/>
  <c r="L18"/>
  <c r="L16"/>
  <c r="L15"/>
  <c r="L14"/>
  <c r="L12"/>
  <c r="L11"/>
  <c r="L10"/>
  <c r="G10"/>
  <c r="L9"/>
  <c r="L8"/>
  <c r="E7"/>
  <c r="G7"/>
  <c r="K7"/>
  <c r="L7"/>
  <c r="F21" i="1"/>
  <c r="C24"/>
  <c r="B24"/>
  <c r="D16"/>
  <c r="D15"/>
  <c r="D14"/>
  <c r="D13"/>
  <c r="C13"/>
  <c r="B13"/>
  <c r="E103" i="2"/>
  <c r="D11" i="3"/>
  <c r="E11"/>
  <c r="G11"/>
  <c r="H11"/>
  <c r="I11"/>
  <c r="E54" i="2"/>
  <c r="D54"/>
  <c r="E33"/>
  <c r="A7" i="3"/>
  <c r="D6" s="1"/>
  <c r="E6" s="1"/>
  <c r="G6" s="1"/>
  <c r="H6" s="1"/>
  <c r="I6" s="1"/>
  <c r="D33" i="2"/>
  <c r="E24"/>
  <c r="E23"/>
  <c r="N136"/>
  <c r="N138"/>
  <c r="K136"/>
  <c r="K138"/>
  <c r="H133"/>
  <c r="I133"/>
  <c r="L133"/>
  <c r="H132"/>
  <c r="I132"/>
  <c r="L132"/>
  <c r="N126"/>
  <c r="N128"/>
  <c r="K126"/>
  <c r="K128"/>
  <c r="K89"/>
  <c r="N107"/>
  <c r="N109"/>
  <c r="N97"/>
  <c r="N99"/>
  <c r="N69"/>
  <c r="N71"/>
  <c r="N58"/>
  <c r="N60"/>
  <c r="N36"/>
  <c r="N38"/>
  <c r="N27"/>
  <c r="N29"/>
  <c r="E45"/>
  <c r="E44"/>
  <c r="E15"/>
  <c r="E14"/>
  <c r="S3"/>
  <c r="N3"/>
  <c r="M3"/>
  <c r="M4"/>
  <c r="L4"/>
  <c r="L3"/>
  <c r="K4"/>
  <c r="K3"/>
  <c r="J4"/>
  <c r="V4"/>
  <c r="J3"/>
  <c r="J2"/>
  <c r="I4"/>
  <c r="I3"/>
  <c r="D5"/>
  <c r="C5"/>
  <c r="B8"/>
  <c r="G45"/>
  <c r="C30" i="1"/>
  <c r="K50" i="2"/>
  <c r="B30" i="1"/>
  <c r="B7"/>
  <c r="I19" i="2"/>
  <c r="J19"/>
  <c r="L19"/>
  <c r="N19"/>
  <c r="H191" i="1"/>
  <c r="H194"/>
  <c r="H159"/>
  <c r="H197"/>
  <c r="H33"/>
  <c r="H112"/>
  <c r="H120"/>
  <c r="H28"/>
  <c r="H68"/>
  <c r="E12" i="3"/>
  <c r="G12"/>
  <c r="H12"/>
  <c r="J12"/>
  <c r="F20" i="1"/>
  <c r="H20"/>
  <c r="H48"/>
  <c r="H141"/>
  <c r="H95"/>
  <c r="H56"/>
  <c r="H82"/>
  <c r="H40"/>
  <c r="H94" i="2"/>
  <c r="K94"/>
  <c r="K97"/>
  <c r="K99"/>
  <c r="F79" i="1"/>
  <c r="H79"/>
  <c r="K113" i="2"/>
  <c r="K116"/>
  <c r="T3"/>
  <c r="V3"/>
  <c r="H33"/>
  <c r="L33"/>
  <c r="J94"/>
  <c r="J97"/>
  <c r="J99"/>
  <c r="F78" i="1"/>
  <c r="H78"/>
  <c r="J132" i="2"/>
  <c r="H54"/>
  <c r="I54"/>
  <c r="I55"/>
  <c r="I58"/>
  <c r="I60"/>
  <c r="K55"/>
  <c r="J55"/>
  <c r="J74"/>
  <c r="J78"/>
  <c r="J80"/>
  <c r="F64" i="1"/>
  <c r="H64"/>
  <c r="K74" i="2"/>
  <c r="K78"/>
  <c r="K80"/>
  <c r="F65" i="1"/>
  <c r="H65" s="1"/>
  <c r="I74" i="2"/>
  <c r="I78"/>
  <c r="I80"/>
  <c r="T4"/>
  <c r="U4"/>
  <c r="D45"/>
  <c r="H45"/>
  <c r="I45"/>
  <c r="L45"/>
  <c r="D66"/>
  <c r="L94"/>
  <c r="M94"/>
  <c r="M97"/>
  <c r="M99"/>
  <c r="F81" i="1"/>
  <c r="H81"/>
  <c r="L36" i="2"/>
  <c r="L38"/>
  <c r="F26" i="1"/>
  <c r="H26"/>
  <c r="I33" i="2"/>
  <c r="I36"/>
  <c r="I38"/>
  <c r="H17"/>
  <c r="H66"/>
  <c r="L97"/>
  <c r="L99"/>
  <c r="F80" i="1"/>
  <c r="H80" s="1"/>
  <c r="M33" i="2"/>
  <c r="M36"/>
  <c r="M38"/>
  <c r="F27" i="1"/>
  <c r="L66" i="2"/>
  <c r="M66"/>
  <c r="D15" i="3"/>
  <c r="H123" i="2"/>
  <c r="I123"/>
  <c r="L123"/>
  <c r="D23" i="3"/>
  <c r="C24"/>
  <c r="H130" i="1"/>
  <c r="F73"/>
  <c r="F190" s="1"/>
  <c r="H190" s="1"/>
  <c r="H73"/>
  <c r="H131"/>
  <c r="H132"/>
  <c r="H138"/>
  <c r="H50"/>
  <c r="H62"/>
  <c r="H102"/>
  <c r="H21"/>
  <c r="H110"/>
  <c r="H87"/>
  <c r="H60"/>
  <c r="H76"/>
  <c r="H125"/>
  <c r="H104"/>
  <c r="H17"/>
  <c r="I66" i="2"/>
  <c r="H34" i="1"/>
  <c r="H74"/>
  <c r="H27"/>
  <c r="L150" i="2"/>
  <c r="M150"/>
  <c r="M153"/>
  <c r="M155"/>
  <c r="J150"/>
  <c r="J153"/>
  <c r="J155"/>
  <c r="K150"/>
  <c r="K153"/>
  <c r="K155"/>
  <c r="I150"/>
  <c r="I153"/>
  <c r="I155"/>
  <c r="J123"/>
  <c r="M123"/>
  <c r="I126"/>
  <c r="I128"/>
  <c r="J133"/>
  <c r="J136"/>
  <c r="J138"/>
  <c r="F122" i="1"/>
  <c r="H122"/>
  <c r="M133" i="2"/>
  <c r="I136"/>
  <c r="I138"/>
  <c r="K54"/>
  <c r="K58"/>
  <c r="K60"/>
  <c r="F37" i="1"/>
  <c r="H37"/>
  <c r="L145" i="2"/>
  <c r="L147"/>
  <c r="M142"/>
  <c r="M145"/>
  <c r="M147"/>
  <c r="I142"/>
  <c r="I145"/>
  <c r="I147"/>
  <c r="K142"/>
  <c r="K145"/>
  <c r="K147"/>
  <c r="F144" i="1"/>
  <c r="H144" s="1"/>
  <c r="J142" i="2"/>
  <c r="J145"/>
  <c r="J147"/>
  <c r="M113"/>
  <c r="M116"/>
  <c r="K118"/>
  <c r="F107" i="1"/>
  <c r="H107" s="1"/>
  <c r="J113" i="2"/>
  <c r="J116"/>
  <c r="J118"/>
  <c r="I113"/>
  <c r="I116"/>
  <c r="I118"/>
  <c r="L153"/>
  <c r="L155"/>
  <c r="M45"/>
  <c r="F106" i="1"/>
  <c r="H106"/>
  <c r="H89"/>
  <c r="H192"/>
  <c r="L118" i="2"/>
  <c r="F108" i="1"/>
  <c r="M118" i="2"/>
  <c r="F109" i="1"/>
  <c r="H109" s="1"/>
  <c r="H108"/>
  <c r="N45" i="2"/>
  <c r="F146" i="1"/>
  <c r="H146" s="1"/>
  <c r="F143"/>
  <c r="J45" i="2"/>
  <c r="E24" i="3"/>
  <c r="G24"/>
  <c r="H24"/>
  <c r="J24"/>
  <c r="C25"/>
  <c r="E25"/>
  <c r="G25"/>
  <c r="K25"/>
  <c r="L25"/>
  <c r="F145" i="1"/>
  <c r="H145"/>
  <c r="E15" i="3"/>
  <c r="G15"/>
  <c r="H15"/>
  <c r="I15"/>
  <c r="C16"/>
  <c r="K66" i="2"/>
  <c r="J66"/>
  <c r="A20" i="3"/>
  <c r="D104" i="2"/>
  <c r="H104"/>
  <c r="L136"/>
  <c r="L138"/>
  <c r="F123" i="1"/>
  <c r="H123"/>
  <c r="M132" i="2"/>
  <c r="M136"/>
  <c r="E23" i="3"/>
  <c r="G23"/>
  <c r="H23"/>
  <c r="I23"/>
  <c r="D24" i="2"/>
  <c r="H24"/>
  <c r="I24"/>
  <c r="J122"/>
  <c r="J126"/>
  <c r="J128"/>
  <c r="F117" i="1"/>
  <c r="H117"/>
  <c r="L122" i="2"/>
  <c r="L78"/>
  <c r="L80"/>
  <c r="F66" i="1"/>
  <c r="M74" i="2"/>
  <c r="M78"/>
  <c r="M80"/>
  <c r="F67" i="1"/>
  <c r="H67" s="1"/>
  <c r="L54" i="2"/>
  <c r="D83"/>
  <c r="H83"/>
  <c r="O83"/>
  <c r="U3"/>
  <c r="J54"/>
  <c r="J58"/>
  <c r="J60"/>
  <c r="F36" i="1"/>
  <c r="H36" s="1"/>
  <c r="J33" i="2"/>
  <c r="J36"/>
  <c r="J38"/>
  <c r="F24" i="1"/>
  <c r="H24" s="1"/>
  <c r="D23" i="2"/>
  <c r="H23"/>
  <c r="I23"/>
  <c r="I94"/>
  <c r="I97"/>
  <c r="I99"/>
  <c r="H196" i="1"/>
  <c r="H193"/>
  <c r="D65" i="2"/>
  <c r="D84"/>
  <c r="H84"/>
  <c r="O84"/>
  <c r="I84"/>
  <c r="K33"/>
  <c r="K36"/>
  <c r="K38"/>
  <c r="F25" i="1"/>
  <c r="H25"/>
  <c r="J84" i="2"/>
  <c r="L84"/>
  <c r="M84"/>
  <c r="H66" i="1"/>
  <c r="C49" i="3"/>
  <c r="D19"/>
  <c r="A28"/>
  <c r="C45"/>
  <c r="H65" i="2"/>
  <c r="D103"/>
  <c r="H103"/>
  <c r="J23"/>
  <c r="I27"/>
  <c r="I29"/>
  <c r="L23"/>
  <c r="K23"/>
  <c r="K24"/>
  <c r="K27"/>
  <c r="K29"/>
  <c r="F14" i="1"/>
  <c r="H14" s="1"/>
  <c r="I83" i="2"/>
  <c r="O87"/>
  <c r="M122"/>
  <c r="M126"/>
  <c r="M128"/>
  <c r="F119" i="1"/>
  <c r="H119"/>
  <c r="L126" i="2"/>
  <c r="L128"/>
  <c r="F118" i="1"/>
  <c r="H118"/>
  <c r="M138" i="2"/>
  <c r="L58"/>
  <c r="L60"/>
  <c r="F38" i="1"/>
  <c r="H38" s="1"/>
  <c r="M54" i="2"/>
  <c r="M58"/>
  <c r="M60"/>
  <c r="F39" i="1"/>
  <c r="H39"/>
  <c r="H143"/>
  <c r="J24" i="2"/>
  <c r="L24"/>
  <c r="M24"/>
  <c r="L104"/>
  <c r="M104"/>
  <c r="K104"/>
  <c r="J104"/>
  <c r="I104"/>
  <c r="E16" i="3"/>
  <c r="G16"/>
  <c r="H16"/>
  <c r="J16"/>
  <c r="C17"/>
  <c r="E17"/>
  <c r="G17"/>
  <c r="K17"/>
  <c r="D16" i="2"/>
  <c r="H16"/>
  <c r="D44"/>
  <c r="H44"/>
  <c r="M10"/>
  <c r="D14"/>
  <c r="L17" i="3"/>
  <c r="I103" i="2"/>
  <c r="I107"/>
  <c r="I109"/>
  <c r="J103"/>
  <c r="J107"/>
  <c r="L103"/>
  <c r="K103"/>
  <c r="K107"/>
  <c r="E45" i="3"/>
  <c r="G45" s="1"/>
  <c r="H45" s="1"/>
  <c r="I45" s="1"/>
  <c r="C47"/>
  <c r="E47"/>
  <c r="G47" s="1"/>
  <c r="K47" s="1"/>
  <c r="L47" s="1"/>
  <c r="F59" i="1" s="1"/>
  <c r="H59" s="1"/>
  <c r="M23" i="2"/>
  <c r="M27"/>
  <c r="M29"/>
  <c r="F16" i="1"/>
  <c r="H16"/>
  <c r="L27" i="2"/>
  <c r="L29"/>
  <c r="F15" i="1"/>
  <c r="H15"/>
  <c r="K65" i="2"/>
  <c r="K69"/>
  <c r="K71"/>
  <c r="F53" i="1"/>
  <c r="H53" s="1"/>
  <c r="L65" i="2"/>
  <c r="I65"/>
  <c r="I69"/>
  <c r="I71"/>
  <c r="J65"/>
  <c r="J69"/>
  <c r="J71"/>
  <c r="F52" i="1"/>
  <c r="H52"/>
  <c r="D46" i="3"/>
  <c r="E46"/>
  <c r="G46" s="1"/>
  <c r="H46" s="1"/>
  <c r="I46" s="1"/>
  <c r="D27"/>
  <c r="D50"/>
  <c r="E50"/>
  <c r="G50" s="1"/>
  <c r="H50" s="1"/>
  <c r="I50" s="1"/>
  <c r="N44" i="2"/>
  <c r="N48"/>
  <c r="I44"/>
  <c r="D15"/>
  <c r="H15"/>
  <c r="H14"/>
  <c r="C20" i="3"/>
  <c r="E19"/>
  <c r="G19"/>
  <c r="H19" s="1"/>
  <c r="I19" s="1"/>
  <c r="F45" i="1" s="1"/>
  <c r="H45" s="1"/>
  <c r="F86"/>
  <c r="H86"/>
  <c r="F124"/>
  <c r="M103" i="2"/>
  <c r="M107"/>
  <c r="M109"/>
  <c r="F94" i="1"/>
  <c r="L83" i="2"/>
  <c r="M83"/>
  <c r="M87"/>
  <c r="M89"/>
  <c r="F72" i="1"/>
  <c r="M65" i="2"/>
  <c r="M69"/>
  <c r="M71"/>
  <c r="F55" i="1"/>
  <c r="M44" i="2"/>
  <c r="M48"/>
  <c r="M50"/>
  <c r="F32" i="1"/>
  <c r="F183"/>
  <c r="H183" s="1"/>
  <c r="I87" i="2"/>
  <c r="I89"/>
  <c r="J83"/>
  <c r="J87"/>
  <c r="J89"/>
  <c r="F70" i="1"/>
  <c r="H70"/>
  <c r="J27" i="2"/>
  <c r="J29"/>
  <c r="F13" i="1"/>
  <c r="H13"/>
  <c r="C51" i="3"/>
  <c r="E51"/>
  <c r="G51" s="1"/>
  <c r="K51" s="1"/>
  <c r="L51" s="1"/>
  <c r="F101" i="1" s="1"/>
  <c r="E49" i="3"/>
  <c r="G49"/>
  <c r="H49" s="1"/>
  <c r="H20" i="2"/>
  <c r="F7" i="1"/>
  <c r="F198"/>
  <c r="H198" s="1"/>
  <c r="E27" i="3"/>
  <c r="G27" s="1"/>
  <c r="H27" s="1"/>
  <c r="I27" s="1"/>
  <c r="F84" i="1" s="1"/>
  <c r="H84" s="1"/>
  <c r="C28" i="3"/>
  <c r="H55" i="1"/>
  <c r="L69" i="2"/>
  <c r="L71"/>
  <c r="F54" i="1"/>
  <c r="H54"/>
  <c r="K158" i="2"/>
  <c r="K160"/>
  <c r="K109"/>
  <c r="F92" i="1"/>
  <c r="H72"/>
  <c r="L87" i="2"/>
  <c r="L89"/>
  <c r="F71" i="1"/>
  <c r="H71"/>
  <c r="C21" i="3"/>
  <c r="E21"/>
  <c r="G21" s="1"/>
  <c r="K21" s="1"/>
  <c r="E20"/>
  <c r="G20"/>
  <c r="H20" s="1"/>
  <c r="J20" s="1"/>
  <c r="L44" i="2"/>
  <c r="L48"/>
  <c r="L50"/>
  <c r="F31" i="1"/>
  <c r="H31" s="1"/>
  <c r="H32"/>
  <c r="J44" i="2"/>
  <c r="J48"/>
  <c r="J50"/>
  <c r="F30" i="1"/>
  <c r="H30" s="1"/>
  <c r="I48" i="2"/>
  <c r="I50"/>
  <c r="L107"/>
  <c r="J109"/>
  <c r="F91" i="1"/>
  <c r="H91" s="1"/>
  <c r="J158" i="2"/>
  <c r="J160"/>
  <c r="E28" i="3"/>
  <c r="G28" s="1"/>
  <c r="H28" s="1"/>
  <c r="J28" s="1"/>
  <c r="F85" i="1" s="1"/>
  <c r="M158" i="2"/>
  <c r="M160"/>
  <c r="H92" i="1"/>
  <c r="F181"/>
  <c r="H181" s="1"/>
  <c r="C29" i="3"/>
  <c r="E29" s="1"/>
  <c r="G29" s="1"/>
  <c r="K29" s="1"/>
  <c r="L29" s="1"/>
  <c r="L109" i="2"/>
  <c r="F93" i="1"/>
  <c r="L158" i="2"/>
  <c r="H94" i="1"/>
  <c r="H93"/>
  <c r="F182"/>
  <c r="H182"/>
  <c r="H124"/>
  <c r="F184"/>
  <c r="H184" s="1"/>
  <c r="H7"/>
  <c r="H174"/>
  <c r="H188"/>
  <c r="H127"/>
  <c r="H85" l="1"/>
  <c r="I49" i="3"/>
  <c r="F100" i="1"/>
  <c r="H101"/>
  <c r="F19"/>
  <c r="H19" s="1"/>
  <c r="I56" i="3"/>
  <c r="F58" i="1"/>
  <c r="H58" s="1"/>
  <c r="H150"/>
  <c r="F46"/>
  <c r="H46" s="1"/>
  <c r="H97" s="1"/>
  <c r="J56" i="3"/>
  <c r="L21"/>
  <c r="F47" i="1" s="1"/>
  <c r="H47" s="1"/>
  <c r="K56" i="3"/>
  <c r="L56" s="1"/>
  <c r="H42" i="1"/>
  <c r="F185" l="1"/>
  <c r="H185" s="1"/>
  <c r="H100"/>
  <c r="H114" s="1"/>
  <c r="H153" s="1"/>
  <c r="H176" s="1"/>
  <c r="F187"/>
  <c r="H187" s="1"/>
  <c r="F186"/>
  <c r="H186" s="1"/>
</calcChain>
</file>

<file path=xl/comments1.xml><?xml version="1.0" encoding="utf-8"?>
<comments xmlns="http://schemas.openxmlformats.org/spreadsheetml/2006/main">
  <authors>
    <author xml:space="preserve"> </author>
  </authors>
  <commentList>
    <comment ref="J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1/2 sable sur le volume de béton.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3/4 gravier sur le volume de béton </t>
        </r>
      </text>
    </comment>
    <comment ref="L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100 kg /m3 sac a 42 kg
</t>
        </r>
      </text>
    </comment>
    <comment ref="M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 drums par sac ciment</t>
        </r>
      </text>
    </comment>
    <comment ref="J3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3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  <comment ref="I4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mortier pour 1/3 de la construction.</t>
        </r>
      </text>
    </comment>
    <comment ref="J4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4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
</t>
        </r>
      </text>
    </comment>
    <comment ref="N4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2/3 de roche 1 m3 =1 pile
</t>
        </r>
      </text>
    </comment>
    <comment ref="J5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5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  <comment ref="J64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64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  <comment ref="J7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7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450 kg /m3 sac a 42 kg</t>
        </r>
      </text>
    </comment>
    <comment ref="I8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mortier5cm
</t>
        </r>
      </text>
    </comment>
    <comment ref="J8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8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
</t>
        </r>
      </text>
    </comment>
    <comment ref="O8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3/4 de roche 1 m3 =1 pile
</t>
        </r>
      </text>
    </comment>
    <comment ref="J9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9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  <comment ref="J10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0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  <comment ref="J11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1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450 kg /m3 sac a 42 kg</t>
        </r>
      </text>
    </comment>
    <comment ref="H121" authorId="0">
      <text>
        <r>
          <rPr>
            <b/>
            <sz val="8"/>
            <color indexed="81"/>
            <rFont val="Tahoma"/>
            <family val="2"/>
          </rPr>
          <t xml:space="preserve"> : surface =1/2 hauteur X 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2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mortier crépis de 3cm sur 
 la surface </t>
        </r>
      </text>
    </comment>
    <comment ref="J12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2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400 kg /m3 sac a 42 kg
</t>
        </r>
      </text>
    </comment>
    <comment ref="H131" authorId="0">
      <text>
        <r>
          <rPr>
            <b/>
            <sz val="8"/>
            <color indexed="81"/>
            <rFont val="Tahoma"/>
            <family val="2"/>
          </rPr>
          <t xml:space="preserve"> : surface =1/2 hauteur X 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mortier crépis de 3cm sur 
 la surface en une couche frotée</t>
        </r>
      </text>
    </comment>
    <comment ref="J13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3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450 kg /m3 sac a 42 kg
</t>
        </r>
      </text>
    </comment>
    <comment ref="J14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4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450 kg /m3 sac a 42 kg</t>
        </r>
      </text>
    </comment>
    <comment ref="J14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20% de sable en plus pour réduction au mouillage.</t>
        </r>
      </text>
    </comment>
    <comment ref="L14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dosage ciment 300 kg /m3 sac a 42 kg</t>
        </r>
      </text>
    </comment>
  </commentList>
</comments>
</file>

<file path=xl/sharedStrings.xml><?xml version="1.0" encoding="utf-8"?>
<sst xmlns="http://schemas.openxmlformats.org/spreadsheetml/2006/main" count="853" uniqueCount="250">
  <si>
    <t>dimensions cuve</t>
  </si>
  <si>
    <t>dimensions</t>
  </si>
  <si>
    <t>Tableau des dimensions</t>
  </si>
  <si>
    <t>5x6</t>
  </si>
  <si>
    <t>longueur</t>
  </si>
  <si>
    <t>largeur bat</t>
  </si>
  <si>
    <t>murs</t>
  </si>
  <si>
    <t>empatement</t>
  </si>
  <si>
    <t>fondations</t>
  </si>
  <si>
    <t>long</t>
  </si>
  <si>
    <t>Emp1</t>
  </si>
  <si>
    <t>salle1</t>
  </si>
  <si>
    <t>fond2</t>
  </si>
  <si>
    <t>salle2</t>
  </si>
  <si>
    <t>fond3</t>
  </si>
  <si>
    <t>salle3</t>
  </si>
  <si>
    <t>fond4</t>
  </si>
  <si>
    <t>salle4</t>
  </si>
  <si>
    <t>fond5</t>
  </si>
  <si>
    <t>emp2</t>
  </si>
  <si>
    <t xml:space="preserve">total </t>
  </si>
  <si>
    <t>fouille</t>
  </si>
  <si>
    <t>larg</t>
  </si>
  <si>
    <t>Quantités de cuve</t>
  </si>
  <si>
    <t>Quantité poteau par longueur</t>
  </si>
  <si>
    <t>Quantité poteau par largeur</t>
  </si>
  <si>
    <t>quantité totale</t>
  </si>
  <si>
    <t>portes</t>
  </si>
  <si>
    <t xml:space="preserve">Besoins bâtiment quatre salles roche </t>
  </si>
  <si>
    <t>calcul des quantités</t>
  </si>
  <si>
    <t>Fouille fondations</t>
  </si>
  <si>
    <t>MO</t>
  </si>
  <si>
    <r>
      <t>fa</t>
    </r>
    <r>
      <rPr>
        <sz val="11"/>
        <color indexed="8"/>
        <rFont val="Calibri"/>
        <family val="2"/>
      </rPr>
      <t xml:space="preserve">çade </t>
    </r>
  </si>
  <si>
    <t>#</t>
  </si>
  <si>
    <t>Largeur</t>
  </si>
  <si>
    <t>H</t>
  </si>
  <si>
    <t>quantité</t>
  </si>
  <si>
    <t>m3 a fouiller</t>
  </si>
  <si>
    <t>mise a plat</t>
  </si>
  <si>
    <t>longue 1</t>
  </si>
  <si>
    <t>longue 2</t>
  </si>
  <si>
    <t>largeur (5)</t>
  </si>
  <si>
    <t>poteaux</t>
  </si>
  <si>
    <t>Besoins</t>
  </si>
  <si>
    <t>Total</t>
  </si>
  <si>
    <t>en m3</t>
  </si>
  <si>
    <t>Béton de propreté</t>
  </si>
  <si>
    <t>Béton dosé 100 kg/m3</t>
  </si>
  <si>
    <t>sable gravier ciment eau</t>
  </si>
  <si>
    <t>objet</t>
  </si>
  <si>
    <t>largeur</t>
  </si>
  <si>
    <t>épaisseur</t>
  </si>
  <si>
    <t>m3 a construire</t>
  </si>
  <si>
    <t>béton 100kg/m3</t>
  </si>
  <si>
    <t>sable</t>
  </si>
  <si>
    <t>gravier</t>
  </si>
  <si>
    <t>ciment</t>
  </si>
  <si>
    <t>Eau</t>
  </si>
  <si>
    <t>roche</t>
  </si>
  <si>
    <t>murs longueur</t>
  </si>
  <si>
    <t>murs largeur</t>
  </si>
  <si>
    <t>m3 béton</t>
  </si>
  <si>
    <t>m3 sable</t>
  </si>
  <si>
    <t>m3 gravier</t>
  </si>
  <si>
    <t>seau</t>
  </si>
  <si>
    <t>sac</t>
  </si>
  <si>
    <t>Drums</t>
  </si>
  <si>
    <t>piles</t>
  </si>
  <si>
    <t>Semelles poteaux</t>
  </si>
  <si>
    <t>Béton dosé 300 kg/m3</t>
  </si>
  <si>
    <t>gravier sable ciment eau</t>
  </si>
  <si>
    <t>total</t>
  </si>
  <si>
    <t>béton 300kg/m3</t>
  </si>
  <si>
    <t>roches</t>
  </si>
  <si>
    <t xml:space="preserve">semelles </t>
  </si>
  <si>
    <t>m3 roche</t>
  </si>
  <si>
    <t>soit seau</t>
  </si>
  <si>
    <t>soit piles</t>
  </si>
  <si>
    <t>Murs fondation</t>
  </si>
  <si>
    <t>Maçonnerie 300kg</t>
  </si>
  <si>
    <t>roche sable  ciment eau</t>
  </si>
  <si>
    <t>h</t>
  </si>
  <si>
    <t>mortier 1/3</t>
  </si>
  <si>
    <t xml:space="preserve">roches </t>
  </si>
  <si>
    <t>fondation longues</t>
  </si>
  <si>
    <t>fondation largeur</t>
  </si>
  <si>
    <t>mortier</t>
  </si>
  <si>
    <t>Poteaux bas</t>
  </si>
  <si>
    <t>poteaux bas 1</t>
  </si>
  <si>
    <t>poteaux bas 2</t>
  </si>
  <si>
    <t>Chainage bas</t>
  </si>
  <si>
    <t>murs longs 1</t>
  </si>
  <si>
    <t>radier</t>
  </si>
  <si>
    <t>Béton dosé 450 kg/m3</t>
  </si>
  <si>
    <t>béton 450kg/m3</t>
  </si>
  <si>
    <t>remblaiement</t>
  </si>
  <si>
    <t>Maçonnerie bloc mortier 300kg/m3</t>
  </si>
  <si>
    <t>bloc 20 sable ciment eau</t>
  </si>
  <si>
    <t>m2 a construire</t>
  </si>
  <si>
    <t>mortier 1/4</t>
  </si>
  <si>
    <t>bloc</t>
  </si>
  <si>
    <t>façade longue</t>
  </si>
  <si>
    <t>façades courtes et séparations</t>
  </si>
  <si>
    <t>m3 mortier</t>
  </si>
  <si>
    <t>piece bloc</t>
  </si>
  <si>
    <t xml:space="preserve">soit </t>
  </si>
  <si>
    <t>Poteaux</t>
  </si>
  <si>
    <t>poteaux intermédiaires</t>
  </si>
  <si>
    <t>Chainage et poutre haut</t>
  </si>
  <si>
    <t>Dalle</t>
  </si>
  <si>
    <t>Crépis toute surface interieure</t>
  </si>
  <si>
    <t xml:space="preserve"> mortier 450kg/m3
</t>
  </si>
  <si>
    <t>sable  ciment eau</t>
  </si>
  <si>
    <t>m2 a faire</t>
  </si>
  <si>
    <t>mortier sur  3cm</t>
  </si>
  <si>
    <t>Crépis toute surface exterieur</t>
  </si>
  <si>
    <t xml:space="preserve">Crépis mortier 450kg/m3
</t>
  </si>
  <si>
    <t>mortier sur 3cm</t>
  </si>
  <si>
    <t>radier de fontaine</t>
  </si>
  <si>
    <t>bordure des toit</t>
  </si>
  <si>
    <t>bordure</t>
  </si>
  <si>
    <t>Besoins Totaux</t>
  </si>
  <si>
    <t>piece</t>
  </si>
  <si>
    <t>Construction d'une citerne de 44 m3.</t>
  </si>
  <si>
    <t xml:space="preserve">Données constituantes de l'estimatif a actualiser </t>
  </si>
  <si>
    <t>Activités</t>
  </si>
  <si>
    <t>Unité</t>
  </si>
  <si>
    <t>Quantité</t>
  </si>
  <si>
    <t>Px unitaire</t>
  </si>
  <si>
    <t>Px total</t>
  </si>
  <si>
    <t>préparation</t>
  </si>
  <si>
    <t>Nivelage</t>
  </si>
  <si>
    <t>Préparation terrain</t>
  </si>
  <si>
    <t>m3</t>
  </si>
  <si>
    <t>terrassement</t>
  </si>
  <si>
    <t xml:space="preserve">Fouille adduction et autre </t>
  </si>
  <si>
    <t>Terrassement</t>
  </si>
  <si>
    <t>Total étape</t>
  </si>
  <si>
    <t>Base de la citerne</t>
  </si>
  <si>
    <t>drums</t>
  </si>
  <si>
    <t>Main d'œuvre  (boss)</t>
  </si>
  <si>
    <t>boss</t>
  </si>
  <si>
    <t>jours</t>
  </si>
  <si>
    <t>Ferraillage poteaux</t>
  </si>
  <si>
    <t>fer 1/2</t>
  </si>
  <si>
    <t>barre</t>
  </si>
  <si>
    <t>Ferraillage semelles</t>
  </si>
  <si>
    <t>fer1/4</t>
  </si>
  <si>
    <t>fil</t>
  </si>
  <si>
    <t>livre</t>
  </si>
  <si>
    <t>Murs du bassin</t>
  </si>
  <si>
    <t>Chainage bas assemblage</t>
  </si>
  <si>
    <t>Ferraillage</t>
  </si>
  <si>
    <t>coffrage  chainage bas</t>
  </si>
  <si>
    <t xml:space="preserve"> Radier assemblage</t>
  </si>
  <si>
    <t>coffrage  radier</t>
  </si>
  <si>
    <t>Main d'œuvre (boss)</t>
  </si>
  <si>
    <t xml:space="preserve">coffrage poteaux </t>
  </si>
  <si>
    <t>Main d'œuvre étape (boss)</t>
  </si>
  <si>
    <t xml:space="preserve"> Chainage haut assemblage</t>
  </si>
  <si>
    <t xml:space="preserve">Coffrage et échafaudage </t>
  </si>
  <si>
    <t>Couverture dalle</t>
  </si>
  <si>
    <t>Ferraillage dalle assemblage</t>
  </si>
  <si>
    <t>coffrage dalle</t>
  </si>
  <si>
    <t>Decoffrage</t>
  </si>
  <si>
    <t xml:space="preserve">Crepis </t>
  </si>
  <si>
    <t>Divers finitions</t>
  </si>
  <si>
    <t>Pose d'adduction</t>
  </si>
  <si>
    <t>Plomberie</t>
  </si>
  <si>
    <t>tuyau 4" pvc sch 40</t>
  </si>
  <si>
    <t>nippe tuyau 4" galvanisé 3'</t>
  </si>
  <si>
    <t>nippe tuyau 3/4 gavanisé 4'</t>
  </si>
  <si>
    <t>coudes 90° pvc sch 40 4'</t>
  </si>
  <si>
    <t>coudes45° pvc sch 40 4'</t>
  </si>
  <si>
    <t>bouchon a vis galva  4"</t>
  </si>
  <si>
    <t>Té 90° pvc sch 40 4'</t>
  </si>
  <si>
    <t>coudes 3/4 galva</t>
  </si>
  <si>
    <t>Vanes 3/4</t>
  </si>
  <si>
    <t>trappe de visite</t>
  </si>
  <si>
    <t xml:space="preserve">divers </t>
  </si>
  <si>
    <t>forfais</t>
  </si>
  <si>
    <t>Boss</t>
  </si>
  <si>
    <t>Fontaine et aménagement</t>
  </si>
  <si>
    <t>construction bordure et radier</t>
  </si>
  <si>
    <t>total etape</t>
  </si>
  <si>
    <t>TOTAL GENERAL</t>
  </si>
  <si>
    <t xml:space="preserve">Achat </t>
  </si>
  <si>
    <t>huile</t>
  </si>
  <si>
    <t>gallon</t>
  </si>
  <si>
    <t>pinceau</t>
  </si>
  <si>
    <t>pièce</t>
  </si>
  <si>
    <t>fut plastique</t>
  </si>
  <si>
    <t>piquets</t>
  </si>
  <si>
    <t>Cros bas</t>
  </si>
  <si>
    <t>ficelle maçon</t>
  </si>
  <si>
    <t>rouleau</t>
  </si>
  <si>
    <t>clous 3" coffrage</t>
  </si>
  <si>
    <t>hard board</t>
  </si>
  <si>
    <t>ettais</t>
  </si>
  <si>
    <t>loc</t>
  </si>
  <si>
    <t>bois 2x4x16</t>
  </si>
  <si>
    <t>planches coff 1X12X12</t>
  </si>
  <si>
    <t>planche 1X4X16</t>
  </si>
  <si>
    <t>seau 5 galons</t>
  </si>
  <si>
    <t>pince</t>
  </si>
  <si>
    <t>pelles</t>
  </si>
  <si>
    <t>pioches</t>
  </si>
  <si>
    <t>brouettes</t>
  </si>
  <si>
    <t>lames de scie métaux</t>
  </si>
  <si>
    <t>SS-TOT</t>
  </si>
  <si>
    <t>Récapitulatif par objet</t>
  </si>
  <si>
    <t>comparaison 4 salles roche</t>
  </si>
  <si>
    <t>Materiaux</t>
  </si>
  <si>
    <t>eau</t>
  </si>
  <si>
    <t>ABRIO</t>
  </si>
  <si>
    <t>fer 1/4</t>
  </si>
  <si>
    <t>comparaison en mètre</t>
  </si>
  <si>
    <t>fil a ligature</t>
  </si>
  <si>
    <t>?</t>
  </si>
  <si>
    <t>divers</t>
  </si>
  <si>
    <t>plomberie</t>
  </si>
  <si>
    <t xml:space="preserve">main d'œuvre </t>
  </si>
  <si>
    <t xml:space="preserve">coupe, pièce </t>
  </si>
  <si>
    <t>dimension en ml</t>
  </si>
  <si>
    <t>total ml pour 1 pièce</t>
  </si>
  <si>
    <t xml:space="preserve">quantité </t>
  </si>
  <si>
    <t>total ml</t>
  </si>
  <si>
    <t>total unité d'achat</t>
  </si>
  <si>
    <t>fil ml</t>
  </si>
  <si>
    <t>fil livre</t>
  </si>
  <si>
    <t>semelle</t>
  </si>
  <si>
    <t>fil ligature</t>
  </si>
  <si>
    <t>Poteau</t>
  </si>
  <si>
    <t>fer1/2</t>
  </si>
  <si>
    <t>chainage bas court</t>
  </si>
  <si>
    <t>chainage bas long</t>
  </si>
  <si>
    <t>chainage haut court</t>
  </si>
  <si>
    <t>chainage haut long</t>
  </si>
  <si>
    <t>assemblage 1</t>
  </si>
  <si>
    <t>angle haut</t>
  </si>
  <si>
    <t>equerres</t>
  </si>
  <si>
    <t>assemblage 2</t>
  </si>
  <si>
    <t>angle bas</t>
  </si>
  <si>
    <t>assemblage 3 haut</t>
  </si>
  <si>
    <t>equerres cloison</t>
  </si>
  <si>
    <t>assemblage 4 bas</t>
  </si>
  <si>
    <t>Radier bas largeur</t>
  </si>
  <si>
    <t>Radier bas longueur</t>
  </si>
  <si>
    <t>dalle haute largeur</t>
  </si>
  <si>
    <t>dalle haute longueur</t>
  </si>
</sst>
</file>

<file path=xl/styles.xml><?xml version="1.0" encoding="utf-8"?>
<styleSheet xmlns="http://schemas.openxmlformats.org/spreadsheetml/2006/main">
  <numFmts count="7">
    <numFmt numFmtId="164" formatCode="_-* #,##0.00\ _F_-;\-* #,##0.00\ _F_-;_-* \-??\ _F_-;_-@_-"/>
    <numFmt numFmtId="165" formatCode="0.0"/>
    <numFmt numFmtId="166" formatCode="0.000"/>
    <numFmt numFmtId="167" formatCode="#,##0.00\ [$HTG]"/>
    <numFmt numFmtId="168" formatCode="#,##0.0"/>
    <numFmt numFmtId="169" formatCode="#,##0.000"/>
    <numFmt numFmtId="170" formatCode="#,##0.0000"/>
  </numFmts>
  <fonts count="28">
    <font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sz val="10"/>
      <name val="Arial Black"/>
      <family val="2"/>
    </font>
    <font>
      <b/>
      <sz val="10"/>
      <name val="Arial Black"/>
      <family val="2"/>
    </font>
    <font>
      <sz val="14"/>
      <name val="Arial Black"/>
      <family val="2"/>
    </font>
    <font>
      <b/>
      <u/>
      <sz val="10"/>
      <name val="Arial Black"/>
      <family val="2"/>
    </font>
    <font>
      <b/>
      <sz val="11"/>
      <name val="Arial"/>
      <family val="2"/>
    </font>
    <font>
      <b/>
      <sz val="14"/>
      <name val="Arial Black"/>
      <family val="2"/>
    </font>
    <font>
      <b/>
      <sz val="16"/>
      <name val="Arial Black"/>
      <family val="2"/>
    </font>
    <font>
      <sz val="16"/>
      <name val="Arial Black"/>
      <family val="2"/>
    </font>
    <font>
      <b/>
      <u/>
      <sz val="11"/>
      <name val="Arial Black"/>
      <family val="2"/>
    </font>
    <font>
      <sz val="11"/>
      <name val="Arial Black"/>
      <family val="2"/>
    </font>
    <font>
      <b/>
      <sz val="20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Arial Black"/>
      <family val="2"/>
    </font>
    <font>
      <sz val="10"/>
      <color rgb="FFFF0000"/>
      <name val="Arial"/>
      <family val="2"/>
    </font>
    <font>
      <b/>
      <sz val="18"/>
      <color rgb="FFC00000"/>
      <name val="Arial"/>
      <family val="2"/>
    </font>
    <font>
      <b/>
      <sz val="18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 Black"/>
      <family val="2"/>
    </font>
    <font>
      <b/>
      <sz val="10"/>
      <color rgb="FFFF0000"/>
      <name val="Arial"/>
      <family val="2"/>
    </font>
    <font>
      <sz val="10"/>
      <color rgb="FF00B05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ill="0" applyBorder="0" applyAlignment="0" applyProtection="0"/>
    <xf numFmtId="0" fontId="2" fillId="0" borderId="0"/>
    <xf numFmtId="9" fontId="2" fillId="0" borderId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5" fontId="0" fillId="2" borderId="8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0" fillId="3" borderId="0" xfId="0" applyFill="1"/>
    <xf numFmtId="0" fontId="0" fillId="4" borderId="0" xfId="0" applyFill="1"/>
    <xf numFmtId="167" fontId="0" fillId="0" borderId="0" xfId="0" applyNumberFormat="1" applyBorder="1" applyAlignment="1">
      <alignment horizontal="center" vertical="center" wrapText="1"/>
    </xf>
    <xf numFmtId="167" fontId="0" fillId="0" borderId="0" xfId="0" applyNumberFormat="1" applyBorder="1" applyAlignment="1">
      <alignment horizontal="right" vertical="center" wrapText="1"/>
    </xf>
    <xf numFmtId="167" fontId="0" fillId="0" borderId="0" xfId="1" applyNumberFormat="1" applyFont="1" applyFill="1" applyBorder="1" applyAlignment="1" applyProtection="1">
      <alignment horizontal="center" vertical="center" wrapText="1"/>
    </xf>
    <xf numFmtId="167" fontId="0" fillId="0" borderId="0" xfId="1" applyNumberFormat="1" applyFont="1" applyFill="1" applyBorder="1" applyAlignment="1" applyProtection="1">
      <alignment horizontal="right" vertical="center" wrapText="1"/>
    </xf>
    <xf numFmtId="167" fontId="0" fillId="0" borderId="0" xfId="0" applyNumberFormat="1" applyFill="1" applyBorder="1" applyAlignment="1">
      <alignment horizontal="center" vertical="center"/>
    </xf>
    <xf numFmtId="167" fontId="0" fillId="0" borderId="0" xfId="0" applyNumberFormat="1" applyFont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vertical="center" wrapText="1"/>
    </xf>
    <xf numFmtId="167" fontId="3" fillId="5" borderId="0" xfId="0" applyNumberFormat="1" applyFont="1" applyFill="1" applyBorder="1" applyAlignment="1">
      <alignment horizontal="center" vertical="center" wrapText="1"/>
    </xf>
    <xf numFmtId="167" fontId="3" fillId="5" borderId="0" xfId="1" applyNumberFormat="1" applyFont="1" applyFill="1" applyBorder="1" applyAlignment="1" applyProtection="1">
      <alignment horizontal="center" vertical="center" wrapText="1"/>
    </xf>
    <xf numFmtId="167" fontId="2" fillId="0" borderId="0" xfId="3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 applyProtection="1">
      <alignment horizontal="center" vertical="center" wrapText="1"/>
    </xf>
    <xf numFmtId="167" fontId="2" fillId="0" borderId="0" xfId="1" applyNumberFormat="1" applyFont="1" applyFill="1" applyBorder="1" applyAlignment="1" applyProtection="1">
      <alignment horizontal="right" vertical="center" wrapText="1"/>
    </xf>
    <xf numFmtId="167" fontId="0" fillId="6" borderId="0" xfId="0" applyNumberFormat="1" applyFont="1" applyFill="1" applyBorder="1" applyAlignment="1">
      <alignment horizontal="center" vertical="center" wrapText="1"/>
    </xf>
    <xf numFmtId="167" fontId="1" fillId="0" borderId="0" xfId="3" applyNumberFormat="1" applyFont="1" applyFill="1" applyBorder="1" applyAlignment="1" applyProtection="1">
      <alignment horizontal="center" vertical="center" wrapText="1"/>
    </xf>
    <xf numFmtId="167" fontId="0" fillId="6" borderId="0" xfId="0" applyNumberFormat="1" applyFill="1" applyBorder="1" applyAlignment="1">
      <alignment horizontal="right" vertical="center" wrapText="1"/>
    </xf>
    <xf numFmtId="167" fontId="0" fillId="7" borderId="0" xfId="0" applyNumberFormat="1" applyFill="1" applyBorder="1" applyAlignment="1">
      <alignment horizontal="center" vertical="center" wrapText="1"/>
    </xf>
    <xf numFmtId="167" fontId="0" fillId="7" borderId="0" xfId="0" applyNumberFormat="1" applyFill="1" applyBorder="1" applyAlignment="1">
      <alignment horizontal="right" vertical="center" wrapText="1"/>
    </xf>
    <xf numFmtId="167" fontId="2" fillId="7" borderId="0" xfId="1" applyNumberFormat="1" applyFont="1" applyFill="1" applyBorder="1" applyAlignment="1" applyProtection="1">
      <alignment horizontal="center" vertical="center" wrapText="1"/>
    </xf>
    <xf numFmtId="167" fontId="0" fillId="2" borderId="0" xfId="0" applyNumberFormat="1" applyFill="1" applyBorder="1" applyAlignment="1">
      <alignment horizontal="center" vertical="center" wrapText="1"/>
    </xf>
    <xf numFmtId="167" fontId="0" fillId="8" borderId="0" xfId="0" applyNumberFormat="1" applyFont="1" applyFill="1" applyBorder="1" applyAlignment="1">
      <alignment horizontal="center" vertical="center" wrapText="1"/>
    </xf>
    <xf numFmtId="167" fontId="0" fillId="8" borderId="0" xfId="0" applyNumberFormat="1" applyFill="1" applyBorder="1" applyAlignment="1">
      <alignment horizontal="right" vertical="center" wrapText="1"/>
    </xf>
    <xf numFmtId="167" fontId="0" fillId="9" borderId="0" xfId="0" applyNumberFormat="1" applyFont="1" applyFill="1" applyBorder="1" applyAlignment="1">
      <alignment horizontal="center" vertical="center" wrapText="1"/>
    </xf>
    <xf numFmtId="167" fontId="0" fillId="8" borderId="0" xfId="0" applyNumberFormat="1" applyFill="1" applyBorder="1" applyAlignment="1">
      <alignment horizontal="center" vertical="center" wrapText="1"/>
    </xf>
    <xf numFmtId="10" fontId="2" fillId="0" borderId="0" xfId="3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6" borderId="0" xfId="0" applyNumberFormat="1" applyFont="1" applyFill="1" applyBorder="1" applyAlignment="1">
      <alignment horizontal="center" vertical="center" wrapText="1"/>
    </xf>
    <xf numFmtId="3" fontId="21" fillId="7" borderId="0" xfId="0" applyNumberFormat="1" applyFont="1" applyFill="1" applyBorder="1" applyAlignment="1">
      <alignment horizontal="center" vertical="center" wrapText="1"/>
    </xf>
    <xf numFmtId="3" fontId="0" fillId="8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 applyProtection="1">
      <alignment horizontal="center" vertical="center" wrapText="1"/>
    </xf>
    <xf numFmtId="167" fontId="3" fillId="6" borderId="0" xfId="0" applyNumberFormat="1" applyFont="1" applyFill="1" applyBorder="1" applyAlignment="1">
      <alignment horizontal="center" vertical="center" wrapText="1"/>
    </xf>
    <xf numFmtId="167" fontId="8" fillId="8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vertical="center" wrapText="1"/>
    </xf>
    <xf numFmtId="0" fontId="2" fillId="3" borderId="0" xfId="3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167" fontId="0" fillId="9" borderId="0" xfId="0" applyNumberFormat="1" applyFill="1" applyBorder="1" applyAlignment="1">
      <alignment horizontal="center" vertical="center" wrapText="1"/>
    </xf>
    <xf numFmtId="3" fontId="0" fillId="9" borderId="0" xfId="0" applyNumberFormat="1" applyFont="1" applyFill="1" applyBorder="1" applyAlignment="1">
      <alignment horizontal="center" vertical="center" wrapText="1"/>
    </xf>
    <xf numFmtId="167" fontId="0" fillId="9" borderId="0" xfId="0" applyNumberFormat="1" applyFill="1" applyBorder="1" applyAlignment="1">
      <alignment horizontal="right" vertical="center" wrapText="1"/>
    </xf>
    <xf numFmtId="167" fontId="8" fillId="9" borderId="0" xfId="1" applyNumberFormat="1" applyFont="1" applyFill="1" applyBorder="1" applyAlignment="1" applyProtection="1">
      <alignment horizontal="center" vertical="center" wrapText="1"/>
    </xf>
    <xf numFmtId="10" fontId="8" fillId="9" borderId="0" xfId="3" applyNumberFormat="1" applyFont="1" applyFill="1" applyBorder="1" applyAlignment="1" applyProtection="1">
      <alignment horizontal="center" vertical="center" wrapText="1"/>
    </xf>
    <xf numFmtId="167" fontId="0" fillId="2" borderId="0" xfId="0" applyNumberFormat="1" applyFill="1" applyBorder="1" applyAlignment="1">
      <alignment horizontal="center" vertical="center"/>
    </xf>
    <xf numFmtId="167" fontId="3" fillId="2" borderId="0" xfId="1" applyNumberFormat="1" applyFont="1" applyFill="1" applyBorder="1" applyAlignment="1" applyProtection="1">
      <alignment vertical="center" wrapText="1"/>
    </xf>
    <xf numFmtId="0" fontId="3" fillId="2" borderId="0" xfId="1" applyNumberFormat="1" applyFont="1" applyFill="1" applyBorder="1" applyAlignment="1" applyProtection="1">
      <alignment vertical="center" wrapText="1"/>
    </xf>
    <xf numFmtId="167" fontId="1" fillId="10" borderId="0" xfId="3" applyNumberFormat="1" applyFont="1" applyFill="1" applyBorder="1" applyAlignment="1" applyProtection="1">
      <alignment horizontal="center" vertical="center" wrapText="1"/>
    </xf>
    <xf numFmtId="167" fontId="0" fillId="6" borderId="0" xfId="0" applyNumberFormat="1" applyFill="1" applyBorder="1" applyAlignment="1">
      <alignment horizontal="center" vertical="center" wrapText="1"/>
    </xf>
    <xf numFmtId="167" fontId="2" fillId="2" borderId="0" xfId="1" applyNumberFormat="1" applyFont="1" applyFill="1" applyBorder="1" applyAlignment="1" applyProtection="1">
      <alignment horizontal="center" vertical="center" wrapText="1"/>
    </xf>
    <xf numFmtId="167" fontId="0" fillId="2" borderId="0" xfId="0" applyNumberFormat="1" applyFont="1" applyFill="1" applyBorder="1" applyAlignment="1">
      <alignment horizontal="center" vertical="center" wrapText="1"/>
    </xf>
    <xf numFmtId="3" fontId="0" fillId="2" borderId="0" xfId="0" applyNumberFormat="1" applyFont="1" applyFill="1" applyBorder="1" applyAlignment="1">
      <alignment horizontal="center" vertical="center" wrapText="1"/>
    </xf>
    <xf numFmtId="167" fontId="0" fillId="2" borderId="0" xfId="0" applyNumberFormat="1" applyFill="1" applyBorder="1" applyAlignment="1">
      <alignment horizontal="right" vertical="center" wrapText="1"/>
    </xf>
    <xf numFmtId="10" fontId="0" fillId="2" borderId="0" xfId="0" applyNumberFormat="1" applyFont="1" applyFill="1" applyBorder="1" applyAlignment="1">
      <alignment horizontal="center" vertical="center" wrapText="1"/>
    </xf>
    <xf numFmtId="167" fontId="10" fillId="10" borderId="0" xfId="0" applyNumberFormat="1" applyFont="1" applyFill="1" applyBorder="1" applyAlignment="1">
      <alignment horizontal="center" vertical="center" textRotation="255" wrapText="1"/>
    </xf>
    <xf numFmtId="0" fontId="0" fillId="3" borderId="6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167" fontId="22" fillId="0" borderId="0" xfId="0" applyNumberFormat="1" applyFont="1" applyFill="1" applyBorder="1" applyAlignment="1">
      <alignment horizontal="left" vertical="center"/>
    </xf>
    <xf numFmtId="167" fontId="11" fillId="4" borderId="0" xfId="0" applyNumberFormat="1" applyFont="1" applyFill="1" applyBorder="1" applyAlignment="1">
      <alignment horizontal="center" vertical="center" wrapText="1"/>
    </xf>
    <xf numFmtId="167" fontId="3" fillId="2" borderId="0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Border="1" applyAlignment="1">
      <alignment horizontal="right" vertical="center" wrapText="1"/>
    </xf>
    <xf numFmtId="167" fontId="1" fillId="10" borderId="0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3" applyNumberFormat="1" applyFont="1" applyFill="1" applyBorder="1" applyAlignment="1" applyProtection="1">
      <alignment horizontal="center" vertical="center" wrapText="1"/>
    </xf>
    <xf numFmtId="2" fontId="0" fillId="3" borderId="0" xfId="0" applyNumberFormat="1" applyFill="1"/>
    <xf numFmtId="0" fontId="0" fillId="12" borderId="0" xfId="0" applyFill="1" applyAlignment="1">
      <alignment horizontal="center" vertical="center"/>
    </xf>
    <xf numFmtId="167" fontId="23" fillId="0" borderId="0" xfId="0" applyNumberFormat="1" applyFont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9" fillId="3" borderId="0" xfId="0" applyNumberFormat="1" applyFont="1" applyFill="1" applyBorder="1" applyAlignment="1">
      <alignment horizontal="center" vertical="center" textRotation="255" wrapText="1"/>
    </xf>
    <xf numFmtId="167" fontId="11" fillId="3" borderId="0" xfId="0" applyNumberFormat="1" applyFont="1" applyFill="1" applyBorder="1" applyAlignment="1">
      <alignment horizontal="center" vertical="center" wrapText="1"/>
    </xf>
    <xf numFmtId="167" fontId="0" fillId="3" borderId="0" xfId="0" applyNumberForma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horizontal="center" vertical="center" wrapText="1"/>
    </xf>
    <xf numFmtId="167" fontId="2" fillId="2" borderId="0" xfId="3" applyNumberFormat="1" applyFont="1" applyFill="1" applyBorder="1" applyAlignment="1" applyProtection="1">
      <alignment horizontal="center" vertical="center" wrapText="1"/>
    </xf>
    <xf numFmtId="167" fontId="0" fillId="3" borderId="0" xfId="0" applyNumberFormat="1" applyFont="1" applyFill="1" applyBorder="1" applyAlignment="1">
      <alignment horizontal="center" vertical="center" wrapText="1"/>
    </xf>
    <xf numFmtId="167" fontId="11" fillId="13" borderId="0" xfId="0" applyNumberFormat="1" applyFont="1" applyFill="1" applyBorder="1" applyAlignment="1">
      <alignment horizontal="center" vertical="center" wrapText="1"/>
    </xf>
    <xf numFmtId="167" fontId="11" fillId="14" borderId="0" xfId="0" applyNumberFormat="1" applyFont="1" applyFill="1" applyBorder="1" applyAlignment="1">
      <alignment horizontal="center" vertical="center" wrapText="1"/>
    </xf>
    <xf numFmtId="0" fontId="0" fillId="14" borderId="0" xfId="0" applyFill="1"/>
    <xf numFmtId="2" fontId="0" fillId="14" borderId="0" xfId="0" applyNumberFormat="1" applyFill="1"/>
    <xf numFmtId="166" fontId="0" fillId="14" borderId="0" xfId="0" applyNumberFormat="1" applyFill="1"/>
    <xf numFmtId="166" fontId="0" fillId="4" borderId="0" xfId="0" applyNumberFormat="1" applyFill="1"/>
    <xf numFmtId="2" fontId="0" fillId="4" borderId="0" xfId="0" applyNumberFormat="1" applyFill="1"/>
    <xf numFmtId="0" fontId="21" fillId="15" borderId="0" xfId="0" applyFont="1" applyFill="1"/>
    <xf numFmtId="167" fontId="0" fillId="16" borderId="0" xfId="0" applyNumberFormat="1" applyFill="1" applyBorder="1" applyAlignment="1">
      <alignment horizontal="center" vertical="center" wrapText="1"/>
    </xf>
    <xf numFmtId="167" fontId="0" fillId="16" borderId="0" xfId="0" applyNumberFormat="1" applyFill="1" applyBorder="1" applyAlignment="1">
      <alignment horizontal="right" vertical="center" wrapText="1"/>
    </xf>
    <xf numFmtId="167" fontId="0" fillId="16" borderId="0" xfId="0" applyNumberFormat="1" applyFont="1" applyFill="1" applyBorder="1" applyAlignment="1">
      <alignment horizontal="right" vertical="center" wrapText="1"/>
    </xf>
    <xf numFmtId="167" fontId="25" fillId="8" borderId="0" xfId="1" applyNumberFormat="1" applyFont="1" applyFill="1" applyBorder="1" applyAlignment="1" applyProtection="1">
      <alignment horizontal="center" vertical="center" wrapText="1"/>
    </xf>
    <xf numFmtId="167" fontId="14" fillId="9" borderId="0" xfId="0" applyNumberFormat="1" applyFont="1" applyFill="1" applyBorder="1" applyAlignment="1">
      <alignment horizontal="center" vertical="center" shrinkToFit="1"/>
    </xf>
    <xf numFmtId="167" fontId="0" fillId="9" borderId="0" xfId="0" applyNumberFormat="1" applyFont="1" applyFill="1" applyBorder="1" applyAlignment="1">
      <alignment horizontal="center" vertical="center" shrinkToFit="1"/>
    </xf>
    <xf numFmtId="3" fontId="0" fillId="0" borderId="0" xfId="0" applyNumberFormat="1" applyFont="1" applyFill="1" applyBorder="1" applyAlignment="1">
      <alignment horizontal="center" vertical="center" wrapText="1"/>
    </xf>
    <xf numFmtId="3" fontId="0" fillId="2" borderId="6" xfId="0" applyNumberFormat="1" applyFont="1" applyFill="1" applyBorder="1" applyAlignment="1">
      <alignment horizontal="center" vertical="center" wrapText="1"/>
    </xf>
    <xf numFmtId="167" fontId="0" fillId="0" borderId="6" xfId="0" applyNumberFormat="1" applyFill="1" applyBorder="1" applyAlignment="1">
      <alignment horizontal="center" vertical="center" wrapText="1"/>
    </xf>
    <xf numFmtId="167" fontId="0" fillId="2" borderId="6" xfId="0" applyNumberFormat="1" applyFont="1" applyFill="1" applyBorder="1" applyAlignment="1">
      <alignment horizontal="center" vertical="center" wrapText="1"/>
    </xf>
    <xf numFmtId="167" fontId="0" fillId="2" borderId="6" xfId="0" applyNumberFormat="1" applyFill="1" applyBorder="1" applyAlignment="1">
      <alignment horizontal="center" vertical="center" wrapText="1"/>
    </xf>
    <xf numFmtId="0" fontId="2" fillId="17" borderId="0" xfId="3" applyNumberFormat="1" applyFont="1" applyFill="1" applyBorder="1" applyAlignment="1" applyProtection="1">
      <alignment horizontal="center" vertical="center" wrapText="1"/>
    </xf>
    <xf numFmtId="167" fontId="0" fillId="0" borderId="6" xfId="0" applyNumberFormat="1" applyFont="1" applyFill="1" applyBorder="1" applyAlignment="1">
      <alignment horizontal="center" vertical="center" wrapText="1"/>
    </xf>
    <xf numFmtId="0" fontId="2" fillId="2" borderId="0" xfId="3" applyNumberFormat="1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/>
    </xf>
    <xf numFmtId="1" fontId="0" fillId="18" borderId="13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1" fontId="0" fillId="3" borderId="0" xfId="0" applyNumberFormat="1" applyFill="1"/>
    <xf numFmtId="167" fontId="9" fillId="2" borderId="0" xfId="0" applyNumberFormat="1" applyFont="1" applyFill="1" applyBorder="1" applyAlignment="1">
      <alignment horizontal="center" vertical="center" textRotation="255" wrapText="1"/>
    </xf>
    <xf numFmtId="167" fontId="11" fillId="2" borderId="0" xfId="0" applyNumberFormat="1" applyFont="1" applyFill="1" applyBorder="1" applyAlignment="1">
      <alignment horizontal="center"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0" fontId="2" fillId="2" borderId="0" xfId="3" applyNumberFormat="1" applyFont="1" applyFill="1" applyBorder="1" applyAlignment="1" applyProtection="1">
      <alignment horizontal="center" vertical="center" wrapText="1"/>
    </xf>
    <xf numFmtId="167" fontId="14" fillId="2" borderId="0" xfId="0" applyNumberFormat="1" applyFont="1" applyFill="1" applyBorder="1" applyAlignment="1">
      <alignment horizontal="center" vertical="center" textRotation="255" wrapText="1"/>
    </xf>
    <xf numFmtId="167" fontId="11" fillId="19" borderId="0" xfId="0" applyNumberFormat="1" applyFont="1" applyFill="1" applyBorder="1" applyAlignment="1">
      <alignment horizontal="center" vertical="center" wrapText="1"/>
    </xf>
    <xf numFmtId="167" fontId="10" fillId="2" borderId="0" xfId="0" applyNumberFormat="1" applyFont="1" applyFill="1" applyBorder="1" applyAlignment="1">
      <alignment horizontal="center" vertical="center" textRotation="255" wrapText="1"/>
    </xf>
    <xf numFmtId="167" fontId="25" fillId="9" borderId="0" xfId="1" applyNumberFormat="1" applyFont="1" applyFill="1" applyBorder="1" applyAlignment="1" applyProtection="1">
      <alignment horizontal="center" vertical="center" wrapText="1"/>
    </xf>
    <xf numFmtId="167" fontId="26" fillId="2" borderId="0" xfId="1" applyNumberFormat="1" applyFont="1" applyFill="1" applyBorder="1" applyAlignment="1" applyProtection="1">
      <alignment vertical="center" wrapText="1"/>
    </xf>
    <xf numFmtId="167" fontId="2" fillId="2" borderId="0" xfId="1" applyNumberFormat="1" applyFont="1" applyFill="1" applyBorder="1" applyAlignment="1" applyProtection="1">
      <alignment horizontal="right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3" fontId="0" fillId="2" borderId="19" xfId="0" applyNumberFormat="1" applyFont="1" applyFill="1" applyBorder="1" applyAlignment="1">
      <alignment horizontal="center" vertical="center" wrapText="1"/>
    </xf>
    <xf numFmtId="167" fontId="0" fillId="2" borderId="0" xfId="0" applyNumberFormat="1" applyFont="1" applyFill="1" applyBorder="1" applyAlignment="1">
      <alignment horizontal="right" vertical="center" wrapText="1"/>
    </xf>
    <xf numFmtId="167" fontId="0" fillId="16" borderId="0" xfId="0" applyNumberFormat="1" applyFont="1" applyFill="1" applyBorder="1" applyAlignment="1">
      <alignment horizontal="center" vertical="center" wrapText="1"/>
    </xf>
    <xf numFmtId="3" fontId="27" fillId="7" borderId="0" xfId="0" applyNumberFormat="1" applyFont="1" applyFill="1" applyBorder="1" applyAlignment="1">
      <alignment horizontal="center" vertical="center" wrapText="1"/>
    </xf>
    <xf numFmtId="4" fontId="27" fillId="7" borderId="0" xfId="0" applyNumberFormat="1" applyFont="1" applyFill="1" applyBorder="1" applyAlignment="1">
      <alignment horizontal="center" vertical="center" wrapText="1"/>
    </xf>
    <xf numFmtId="168" fontId="27" fillId="7" borderId="0" xfId="0" applyNumberFormat="1" applyFont="1" applyFill="1" applyBorder="1" applyAlignment="1">
      <alignment horizontal="center" vertical="center" wrapText="1"/>
    </xf>
    <xf numFmtId="169" fontId="0" fillId="2" borderId="6" xfId="0" applyNumberForma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vertical="center" wrapText="1"/>
    </xf>
    <xf numFmtId="169" fontId="27" fillId="7" borderId="0" xfId="0" applyNumberFormat="1" applyFont="1" applyFill="1" applyBorder="1" applyAlignment="1">
      <alignment horizontal="center" vertical="center" wrapText="1"/>
    </xf>
    <xf numFmtId="4" fontId="27" fillId="16" borderId="0" xfId="0" applyNumberFormat="1" applyFont="1" applyFill="1" applyBorder="1" applyAlignment="1">
      <alignment horizontal="center" vertical="center" wrapText="1"/>
    </xf>
    <xf numFmtId="170" fontId="0" fillId="2" borderId="6" xfId="0" applyNumberFormat="1" applyFill="1" applyBorder="1" applyAlignment="1">
      <alignment horizontal="center" vertical="center" wrapText="1"/>
    </xf>
    <xf numFmtId="2" fontId="0" fillId="3" borderId="13" xfId="0" applyNumberFormat="1" applyFill="1" applyBorder="1" applyAlignment="1">
      <alignment horizontal="center" vertical="center"/>
    </xf>
    <xf numFmtId="167" fontId="22" fillId="0" borderId="0" xfId="0" applyNumberFormat="1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textRotation="255" wrapText="1"/>
    </xf>
    <xf numFmtId="0" fontId="9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7" fontId="16" fillId="0" borderId="20" xfId="0" applyNumberFormat="1" applyFont="1" applyBorder="1" applyAlignment="1">
      <alignment horizontal="center" vertical="center" textRotation="255" wrapText="1"/>
    </xf>
    <xf numFmtId="0" fontId="16" fillId="0" borderId="20" xfId="0" applyFont="1" applyBorder="1" applyAlignment="1">
      <alignment horizontal="center" vertical="center" textRotation="255" wrapText="1"/>
    </xf>
    <xf numFmtId="167" fontId="15" fillId="10" borderId="0" xfId="0" applyNumberFormat="1" applyFont="1" applyFill="1" applyBorder="1" applyAlignment="1">
      <alignment horizontal="center" vertical="center" textRotation="255" wrapText="1"/>
    </xf>
    <xf numFmtId="167" fontId="13" fillId="14" borderId="0" xfId="0" applyNumberFormat="1" applyFont="1" applyFill="1" applyBorder="1" applyAlignment="1">
      <alignment horizontal="center" vertical="center" textRotation="255" wrapText="1"/>
    </xf>
    <xf numFmtId="0" fontId="0" fillId="0" borderId="0" xfId="0" applyAlignment="1">
      <alignment horizontal="center" vertical="center" textRotation="255" wrapText="1"/>
    </xf>
    <xf numFmtId="167" fontId="12" fillId="13" borderId="0" xfId="0" applyNumberFormat="1" applyFont="1" applyFill="1" applyBorder="1" applyAlignment="1">
      <alignment horizontal="center" vertical="center" textRotation="255" wrapText="1"/>
    </xf>
    <xf numFmtId="0" fontId="9" fillId="0" borderId="0" xfId="0" applyFont="1" applyAlignment="1">
      <alignment horizontal="center" vertical="center" textRotation="255" wrapText="1"/>
    </xf>
    <xf numFmtId="167" fontId="9" fillId="4" borderId="0" xfId="0" applyNumberFormat="1" applyFont="1" applyFill="1" applyBorder="1" applyAlignment="1">
      <alignment horizontal="center" vertical="center" textRotation="255" wrapText="1"/>
    </xf>
    <xf numFmtId="0" fontId="1" fillId="0" borderId="0" xfId="0" applyFont="1" applyAlignment="1">
      <alignment horizontal="center" vertical="center" textRotation="255" wrapText="1"/>
    </xf>
    <xf numFmtId="167" fontId="14" fillId="3" borderId="0" xfId="0" applyNumberFormat="1" applyFont="1" applyFill="1" applyBorder="1" applyAlignment="1">
      <alignment horizontal="center" vertical="center" textRotation="255" wrapText="1"/>
    </xf>
    <xf numFmtId="3" fontId="9" fillId="0" borderId="0" xfId="0" applyNumberFormat="1" applyFont="1" applyFill="1" applyBorder="1" applyAlignment="1">
      <alignment horizontal="center" vertical="center" textRotation="255" wrapText="1"/>
    </xf>
    <xf numFmtId="0" fontId="7" fillId="0" borderId="0" xfId="0" applyFont="1" applyBorder="1" applyAlignment="1">
      <alignment horizontal="center" vertical="center" textRotation="255" wrapText="1"/>
    </xf>
  </cellXfs>
  <cellStyles count="4">
    <cellStyle name="Comma" xfId="1" builtinId="3"/>
    <cellStyle name="Normal" xfId="0" builtinId="0"/>
    <cellStyle name="Normal 3" xfId="2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47B8B8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63"/>
  <sheetViews>
    <sheetView topLeftCell="A136" workbookViewId="0">
      <selection activeCell="L112" sqref="L112"/>
    </sheetView>
  </sheetViews>
  <sheetFormatPr defaultColWidth="11.42578125" defaultRowHeight="12.75"/>
  <cols>
    <col min="1" max="1" width="39.85546875" style="1" bestFit="1" customWidth="1"/>
    <col min="2" max="2" width="63" style="1" bestFit="1" customWidth="1"/>
    <col min="3" max="3" width="11.42578125" style="1"/>
    <col min="4" max="4" width="14" style="1" bestFit="1" customWidth="1"/>
    <col min="5" max="5" width="12" style="1" bestFit="1" customWidth="1"/>
    <col min="6" max="6" width="11.28515625" style="1" bestFit="1" customWidth="1"/>
    <col min="7" max="8" width="14.5703125" style="1" bestFit="1" customWidth="1"/>
    <col min="9" max="9" width="15.28515625" style="1" bestFit="1" customWidth="1"/>
    <col min="10" max="10" width="12" style="1" bestFit="1" customWidth="1"/>
    <col min="11" max="11" width="10.28515625" style="1" bestFit="1" customWidth="1"/>
    <col min="12" max="13" width="12" style="1" bestFit="1" customWidth="1"/>
    <col min="14" max="14" width="11.42578125" style="1"/>
    <col min="15" max="15" width="15.42578125" style="1" bestFit="1" customWidth="1"/>
    <col min="16" max="16384" width="11.42578125" style="1"/>
  </cols>
  <sheetData>
    <row r="1" spans="1:22">
      <c r="B1" s="1" t="s">
        <v>0</v>
      </c>
      <c r="C1" s="1" t="s">
        <v>1</v>
      </c>
      <c r="I1" s="1" t="s">
        <v>2</v>
      </c>
    </row>
    <row r="2" spans="1:22"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tr">
        <f>E2</f>
        <v>murs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</row>
    <row r="3" spans="1:22">
      <c r="C3" s="93">
        <v>3</v>
      </c>
      <c r="D3" s="93">
        <v>5</v>
      </c>
      <c r="E3" s="93">
        <v>0.2</v>
      </c>
      <c r="F3" s="93">
        <v>0.1</v>
      </c>
      <c r="G3" s="1">
        <v>0.4</v>
      </c>
      <c r="I3" s="1">
        <f>F3</f>
        <v>0.1</v>
      </c>
      <c r="J3" s="1">
        <f>E3</f>
        <v>0.2</v>
      </c>
      <c r="K3" s="1">
        <f>C3</f>
        <v>3</v>
      </c>
      <c r="L3" s="1">
        <f>E3</f>
        <v>0.2</v>
      </c>
      <c r="M3" s="1">
        <f>C3</f>
        <v>3</v>
      </c>
      <c r="N3" s="1">
        <f>E3</f>
        <v>0.2</v>
      </c>
      <c r="S3" s="1">
        <f>F3</f>
        <v>0.1</v>
      </c>
      <c r="T3" s="1">
        <f>SUM(I3:S3)</f>
        <v>6.8</v>
      </c>
      <c r="U3" s="1">
        <f>T3</f>
        <v>6.8</v>
      </c>
      <c r="V3" s="1">
        <f>T3-E3</f>
        <v>6.6</v>
      </c>
    </row>
    <row r="4" spans="1:22">
      <c r="H4" s="1" t="s">
        <v>22</v>
      </c>
      <c r="I4" s="1">
        <f>F3</f>
        <v>0.1</v>
      </c>
      <c r="J4" s="1">
        <f>E3</f>
        <v>0.2</v>
      </c>
      <c r="K4" s="1">
        <f>D3</f>
        <v>5</v>
      </c>
      <c r="L4" s="1">
        <f>E3</f>
        <v>0.2</v>
      </c>
      <c r="M4" s="1">
        <f>F3</f>
        <v>0.1</v>
      </c>
      <c r="T4" s="1">
        <f>SUM(I4:S4)</f>
        <v>5.6</v>
      </c>
      <c r="U4" s="1">
        <f>T4-((G3+I3)*2)</f>
        <v>4.5999999999999996</v>
      </c>
      <c r="V4" s="1">
        <f>J4+K4+L4</f>
        <v>5.4</v>
      </c>
    </row>
    <row r="5" spans="1:22">
      <c r="A5" s="1" t="s">
        <v>23</v>
      </c>
      <c r="B5" s="93">
        <v>2</v>
      </c>
      <c r="C5" s="1">
        <f>C3</f>
        <v>3</v>
      </c>
      <c r="D5" s="1">
        <f>D3</f>
        <v>5</v>
      </c>
    </row>
    <row r="6" spans="1:22">
      <c r="A6" s="1" t="s">
        <v>24</v>
      </c>
      <c r="B6" s="93">
        <v>3</v>
      </c>
      <c r="C6" s="1">
        <v>0.6</v>
      </c>
      <c r="D6" s="1">
        <v>0.6</v>
      </c>
    </row>
    <row r="7" spans="1:22">
      <c r="A7" s="1" t="s">
        <v>25</v>
      </c>
      <c r="B7" s="93">
        <v>1</v>
      </c>
      <c r="C7" s="1">
        <v>0.6</v>
      </c>
      <c r="D7" s="1">
        <v>0.6</v>
      </c>
    </row>
    <row r="8" spans="1:22">
      <c r="A8" s="1" t="s">
        <v>26</v>
      </c>
      <c r="B8" s="1">
        <f>(B6*2)+(B7*B5+1)</f>
        <v>9</v>
      </c>
      <c r="F8" s="1" t="s">
        <v>27</v>
      </c>
      <c r="G8" s="93">
        <v>0</v>
      </c>
    </row>
    <row r="9" spans="1:22" ht="26.25">
      <c r="B9" s="2" t="s">
        <v>28</v>
      </c>
      <c r="G9" s="2" t="s">
        <v>29</v>
      </c>
    </row>
    <row r="10" spans="1:22" ht="26.25">
      <c r="B10" s="2"/>
      <c r="G10" s="2"/>
      <c r="M10" s="1">
        <f>U3</f>
        <v>6.8</v>
      </c>
    </row>
    <row r="11" spans="1:22" s="3" customFormat="1" ht="19.5" thickBot="1">
      <c r="A11" s="4" t="s">
        <v>30</v>
      </c>
      <c r="B11" s="4" t="s">
        <v>30</v>
      </c>
      <c r="C11" s="3" t="s">
        <v>31</v>
      </c>
    </row>
    <row r="12" spans="1:22" s="3" customFormat="1" ht="15">
      <c r="B12" s="5" t="s">
        <v>32</v>
      </c>
      <c r="C12" s="6" t="s">
        <v>33</v>
      </c>
      <c r="D12" s="6" t="s">
        <v>4</v>
      </c>
      <c r="E12" s="6" t="s">
        <v>34</v>
      </c>
      <c r="F12" s="6" t="s">
        <v>35</v>
      </c>
      <c r="G12" s="6" t="s">
        <v>36</v>
      </c>
      <c r="H12" s="6" t="s">
        <v>37</v>
      </c>
      <c r="I12" s="6"/>
      <c r="J12" s="6"/>
      <c r="K12" s="7"/>
      <c r="L12" s="6"/>
      <c r="M12" s="6"/>
      <c r="N12" s="8"/>
    </row>
    <row r="13" spans="1:22" s="3" customFormat="1">
      <c r="B13" s="9" t="s">
        <v>38</v>
      </c>
      <c r="C13" s="10"/>
      <c r="D13" s="84">
        <v>8</v>
      </c>
      <c r="E13" s="84">
        <v>6</v>
      </c>
      <c r="F13" s="84">
        <v>0.4</v>
      </c>
      <c r="G13" s="83">
        <v>1</v>
      </c>
      <c r="H13" s="10">
        <f>D13*E13*F13*G13</f>
        <v>19.200000000000003</v>
      </c>
      <c r="I13" s="10"/>
      <c r="J13" s="10"/>
      <c r="K13" s="11"/>
      <c r="L13" s="10"/>
      <c r="M13" s="10"/>
      <c r="N13" s="12"/>
    </row>
    <row r="14" spans="1:22" s="3" customFormat="1">
      <c r="B14" s="9" t="s">
        <v>39</v>
      </c>
      <c r="C14" s="10">
        <v>1</v>
      </c>
      <c r="D14" s="84">
        <f>U3</f>
        <v>6.8</v>
      </c>
      <c r="E14" s="84">
        <f>G3</f>
        <v>0.4</v>
      </c>
      <c r="F14" s="84">
        <v>0.4</v>
      </c>
      <c r="G14" s="83">
        <v>1</v>
      </c>
      <c r="H14" s="10">
        <f>D14*E14*F14*G14</f>
        <v>1.0880000000000001</v>
      </c>
      <c r="I14" s="10"/>
      <c r="J14" s="10"/>
      <c r="K14" s="11"/>
      <c r="L14" s="10"/>
      <c r="M14" s="10"/>
      <c r="N14" s="12"/>
    </row>
    <row r="15" spans="1:22" s="3" customFormat="1">
      <c r="B15" s="9" t="s">
        <v>40</v>
      </c>
      <c r="C15" s="10">
        <v>2</v>
      </c>
      <c r="D15" s="84">
        <f>D14</f>
        <v>6.8</v>
      </c>
      <c r="E15" s="84">
        <f>G3</f>
        <v>0.4</v>
      </c>
      <c r="F15" s="84">
        <v>0.5</v>
      </c>
      <c r="G15" s="83">
        <v>1</v>
      </c>
      <c r="H15" s="10">
        <f>D15*E15*F15*G15</f>
        <v>1.36</v>
      </c>
      <c r="I15" s="10"/>
      <c r="J15" s="10"/>
      <c r="K15" s="11"/>
      <c r="L15" s="10"/>
      <c r="M15" s="10"/>
      <c r="N15" s="12"/>
    </row>
    <row r="16" spans="1:22" s="3" customFormat="1">
      <c r="B16" s="9" t="s">
        <v>41</v>
      </c>
      <c r="C16" s="10">
        <v>3</v>
      </c>
      <c r="D16" s="84">
        <f>U3</f>
        <v>6.8</v>
      </c>
      <c r="E16" s="84">
        <f>G3</f>
        <v>0.4</v>
      </c>
      <c r="F16" s="84">
        <v>0.5</v>
      </c>
      <c r="G16" s="83">
        <v>3</v>
      </c>
      <c r="H16" s="10">
        <f>D16*E16*F16*G16</f>
        <v>4.08</v>
      </c>
      <c r="I16" s="10"/>
      <c r="J16" s="10"/>
      <c r="K16" s="11"/>
      <c r="L16" s="10"/>
      <c r="M16" s="10"/>
      <c r="N16" s="12"/>
    </row>
    <row r="17" spans="1:14" s="3" customFormat="1">
      <c r="B17" s="9" t="s">
        <v>42</v>
      </c>
      <c r="C17" s="10">
        <v>3</v>
      </c>
      <c r="D17" s="84">
        <v>0.6</v>
      </c>
      <c r="E17" s="84">
        <v>0.6</v>
      </c>
      <c r="F17" s="84">
        <v>0.4</v>
      </c>
      <c r="G17" s="83">
        <v>9</v>
      </c>
      <c r="H17" s="10">
        <f>D17*E17*F17*G17</f>
        <v>1.2959999999999998</v>
      </c>
      <c r="I17" s="10"/>
      <c r="J17" s="10"/>
      <c r="K17" s="11"/>
      <c r="L17" s="10"/>
      <c r="M17" s="10"/>
      <c r="N17" s="12"/>
    </row>
    <row r="18" spans="1:14" s="3" customFormat="1" ht="13.5" thickBot="1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 s="3" customFormat="1" ht="14.25" thickTop="1" thickBot="1">
      <c r="B19" s="13"/>
      <c r="C19" s="13"/>
      <c r="D19" s="13"/>
      <c r="E19" s="13"/>
      <c r="F19" s="13"/>
      <c r="G19" s="14" t="s">
        <v>43</v>
      </c>
      <c r="H19" s="14" t="s">
        <v>44</v>
      </c>
      <c r="I19" s="15">
        <f>SUM(I14:I18)</f>
        <v>0</v>
      </c>
      <c r="J19" s="15">
        <f>SUM(J14:J18)</f>
        <v>0</v>
      </c>
      <c r="K19" s="16"/>
      <c r="L19" s="15">
        <f>SUM(L14:L18)</f>
        <v>0</v>
      </c>
      <c r="M19" s="17"/>
      <c r="N19" s="15">
        <f>SUM(N14:N18)</f>
        <v>0</v>
      </c>
    </row>
    <row r="20" spans="1:14" s="3" customFormat="1" ht="19.5" thickTop="1">
      <c r="G20" s="139" t="s">
        <v>45</v>
      </c>
      <c r="H20" s="139">
        <f>SUM(H12:H17)</f>
        <v>27.024000000000001</v>
      </c>
      <c r="I20" s="18"/>
      <c r="J20" s="18"/>
      <c r="K20" s="18"/>
      <c r="L20" s="18"/>
      <c r="M20" s="18"/>
      <c r="N20" s="19"/>
    </row>
    <row r="21" spans="1:14" s="3" customFormat="1" ht="19.5" thickBot="1">
      <c r="A21" s="4" t="s">
        <v>46</v>
      </c>
      <c r="B21" s="4" t="s">
        <v>47</v>
      </c>
      <c r="D21" s="20" t="s">
        <v>48</v>
      </c>
    </row>
    <row r="22" spans="1:14" s="3" customFormat="1">
      <c r="B22" s="5" t="s">
        <v>49</v>
      </c>
      <c r="C22" s="6" t="s">
        <v>33</v>
      </c>
      <c r="D22" s="6" t="s">
        <v>4</v>
      </c>
      <c r="E22" s="6" t="s">
        <v>50</v>
      </c>
      <c r="F22" s="6" t="s">
        <v>51</v>
      </c>
      <c r="G22" s="6" t="s">
        <v>36</v>
      </c>
      <c r="H22" s="6" t="s">
        <v>52</v>
      </c>
      <c r="I22" s="6" t="s">
        <v>53</v>
      </c>
      <c r="J22" s="6" t="s">
        <v>54</v>
      </c>
      <c r="K22" s="7" t="s">
        <v>55</v>
      </c>
      <c r="L22" s="6" t="s">
        <v>56</v>
      </c>
      <c r="M22" s="6" t="s">
        <v>57</v>
      </c>
      <c r="N22" s="8" t="s">
        <v>58</v>
      </c>
    </row>
    <row r="23" spans="1:14" s="3" customFormat="1">
      <c r="B23" s="95" t="s">
        <v>59</v>
      </c>
      <c r="C23" s="10">
        <v>5</v>
      </c>
      <c r="D23" s="96">
        <f>T3</f>
        <v>6.8</v>
      </c>
      <c r="E23" s="10">
        <f>G3</f>
        <v>0.4</v>
      </c>
      <c r="F23" s="10">
        <v>0.05</v>
      </c>
      <c r="G23" s="96">
        <v>2</v>
      </c>
      <c r="H23" s="10">
        <f>D23*E23*F23*G23</f>
        <v>0.27200000000000002</v>
      </c>
      <c r="I23" s="97">
        <f>H23</f>
        <v>0.27200000000000002</v>
      </c>
      <c r="J23" s="21">
        <f>I23/4*2</f>
        <v>0.13600000000000001</v>
      </c>
      <c r="K23" s="21">
        <f>I23/4*3</f>
        <v>0.20400000000000001</v>
      </c>
      <c r="L23" s="21">
        <f>I23*100/42</f>
        <v>0.64761904761904765</v>
      </c>
      <c r="M23" s="21">
        <f>L23/2</f>
        <v>0.32380952380952382</v>
      </c>
      <c r="N23" s="98">
        <v>0</v>
      </c>
    </row>
    <row r="24" spans="1:14" s="3" customFormat="1">
      <c r="B24" s="9" t="s">
        <v>60</v>
      </c>
      <c r="C24" s="10">
        <v>6</v>
      </c>
      <c r="D24" s="10">
        <f>U4</f>
        <v>4.5999999999999996</v>
      </c>
      <c r="E24" s="10">
        <f>G3</f>
        <v>0.4</v>
      </c>
      <c r="F24" s="10">
        <v>0.05</v>
      </c>
      <c r="G24" s="10">
        <v>5</v>
      </c>
      <c r="H24" s="10">
        <f>D24*E24*F24*G24</f>
        <v>0.45999999999999996</v>
      </c>
      <c r="I24" s="97">
        <f>H24</f>
        <v>0.45999999999999996</v>
      </c>
      <c r="J24" s="21">
        <f>I24/4*2</f>
        <v>0.22999999999999998</v>
      </c>
      <c r="K24" s="21">
        <f>I24/4*3</f>
        <v>0.34499999999999997</v>
      </c>
      <c r="L24" s="21">
        <f>I24*100/42</f>
        <v>1.0952380952380953</v>
      </c>
      <c r="M24" s="21">
        <f>L24/2</f>
        <v>0.54761904761904767</v>
      </c>
      <c r="N24" s="98">
        <v>0</v>
      </c>
    </row>
    <row r="25" spans="1:14" s="3" customFormat="1" ht="13.5" thickBot="1">
      <c r="L25" s="21"/>
    </row>
    <row r="26" spans="1:14" s="3" customFormat="1" ht="13.5" thickBot="1">
      <c r="G26" s="171" t="s">
        <v>43</v>
      </c>
      <c r="H26" s="172"/>
      <c r="I26" s="6" t="s">
        <v>61</v>
      </c>
      <c r="J26" s="6" t="s">
        <v>62</v>
      </c>
      <c r="K26" s="6" t="s">
        <v>63</v>
      </c>
      <c r="L26" s="6" t="s">
        <v>56</v>
      </c>
      <c r="M26" s="7" t="s">
        <v>57</v>
      </c>
      <c r="N26" s="8" t="s">
        <v>58</v>
      </c>
    </row>
    <row r="27" spans="1:14" s="3" customFormat="1" ht="14.25" thickTop="1" thickBot="1">
      <c r="G27" s="173"/>
      <c r="H27" s="174"/>
      <c r="I27" s="15">
        <f t="shared" ref="I27:N27" si="0">SUM(I23:I24)</f>
        <v>0.73199999999999998</v>
      </c>
      <c r="J27" s="15">
        <f t="shared" si="0"/>
        <v>0.36599999999999999</v>
      </c>
      <c r="K27" s="15">
        <f t="shared" si="0"/>
        <v>0.54899999999999993</v>
      </c>
      <c r="L27" s="15">
        <f t="shared" si="0"/>
        <v>1.7428571428571429</v>
      </c>
      <c r="M27" s="16">
        <f t="shared" si="0"/>
        <v>0.87142857142857144</v>
      </c>
      <c r="N27" s="99">
        <f t="shared" si="0"/>
        <v>0</v>
      </c>
    </row>
    <row r="28" spans="1:14" s="3" customFormat="1" ht="13.5" thickTop="1">
      <c r="G28" s="173"/>
      <c r="H28" s="174"/>
      <c r="I28" s="10" t="s">
        <v>64</v>
      </c>
      <c r="J28" s="10" t="s">
        <v>64</v>
      </c>
      <c r="K28" s="10" t="s">
        <v>64</v>
      </c>
      <c r="L28" s="10" t="s">
        <v>65</v>
      </c>
      <c r="M28" s="11" t="s">
        <v>66</v>
      </c>
      <c r="N28" s="100" t="s">
        <v>67</v>
      </c>
    </row>
    <row r="29" spans="1:14" s="3" customFormat="1" ht="13.5" thickBot="1">
      <c r="G29" s="175"/>
      <c r="H29" s="176"/>
      <c r="I29" s="22">
        <f>I27*52</f>
        <v>38.064</v>
      </c>
      <c r="J29" s="140">
        <f>J27*52</f>
        <v>19.032</v>
      </c>
      <c r="K29" s="22">
        <f>K27*52</f>
        <v>28.547999999999995</v>
      </c>
      <c r="L29" s="22">
        <f>ROUNDUP(L27,0)</f>
        <v>2</v>
      </c>
      <c r="M29" s="22">
        <f>ROUNDUP(M27,0)</f>
        <v>1</v>
      </c>
      <c r="N29" s="23">
        <f>ROUND(N27,0)</f>
        <v>0</v>
      </c>
    </row>
    <row r="30" spans="1:14" s="3" customFormat="1" ht="18.75">
      <c r="G30" s="139"/>
      <c r="H30" s="139"/>
      <c r="I30" s="18"/>
      <c r="J30" s="18"/>
      <c r="K30" s="18"/>
      <c r="L30" s="18"/>
      <c r="M30" s="18"/>
      <c r="N30" s="18"/>
    </row>
    <row r="31" spans="1:14" s="3" customFormat="1" ht="19.5" thickBot="1">
      <c r="A31" s="4" t="s">
        <v>68</v>
      </c>
      <c r="B31" s="4" t="s">
        <v>69</v>
      </c>
      <c r="D31" s="20" t="s">
        <v>70</v>
      </c>
    </row>
    <row r="32" spans="1:14" s="3" customFormat="1">
      <c r="B32" s="5" t="s">
        <v>71</v>
      </c>
      <c r="C32" s="6" t="s">
        <v>33</v>
      </c>
      <c r="D32" s="6" t="s">
        <v>4</v>
      </c>
      <c r="E32" s="6" t="s">
        <v>34</v>
      </c>
      <c r="F32" s="6" t="s">
        <v>35</v>
      </c>
      <c r="G32" s="6" t="s">
        <v>36</v>
      </c>
      <c r="H32" s="6" t="s">
        <v>52</v>
      </c>
      <c r="I32" s="6" t="s">
        <v>72</v>
      </c>
      <c r="J32" s="6" t="s">
        <v>54</v>
      </c>
      <c r="K32" s="7" t="s">
        <v>55</v>
      </c>
      <c r="L32" s="6" t="s">
        <v>56</v>
      </c>
      <c r="M32" s="6" t="s">
        <v>57</v>
      </c>
      <c r="N32" s="8" t="s">
        <v>73</v>
      </c>
    </row>
    <row r="33" spans="1:16" s="3" customFormat="1">
      <c r="B33" s="9" t="s">
        <v>74</v>
      </c>
      <c r="C33" s="10">
        <v>10</v>
      </c>
      <c r="D33" s="10">
        <f>C6</f>
        <v>0.6</v>
      </c>
      <c r="E33" s="10">
        <f>D6</f>
        <v>0.6</v>
      </c>
      <c r="F33" s="10">
        <v>0.1</v>
      </c>
      <c r="G33" s="10">
        <v>9</v>
      </c>
      <c r="H33" s="10">
        <f>F33*E33*D33*G33</f>
        <v>0.32399999999999995</v>
      </c>
      <c r="I33" s="10">
        <f>H33</f>
        <v>0.32399999999999995</v>
      </c>
      <c r="J33" s="10">
        <f>H33/4*2</f>
        <v>0.16199999999999998</v>
      </c>
      <c r="K33" s="10">
        <f>H33/4*3</f>
        <v>0.24299999999999997</v>
      </c>
      <c r="L33" s="24">
        <f>H33*300/42</f>
        <v>2.3142857142857141</v>
      </c>
      <c r="M33" s="24">
        <f>L33/2</f>
        <v>1.157142857142857</v>
      </c>
      <c r="N33" s="12">
        <v>0</v>
      </c>
    </row>
    <row r="34" spans="1:16" s="3" customFormat="1" ht="13.5" thickBot="1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6" s="3" customFormat="1" ht="13.5" thickBot="1">
      <c r="G35" s="171" t="s">
        <v>43</v>
      </c>
      <c r="H35" s="172"/>
      <c r="I35" s="6" t="s">
        <v>61</v>
      </c>
      <c r="J35" s="6" t="s">
        <v>62</v>
      </c>
      <c r="K35" s="7" t="s">
        <v>63</v>
      </c>
      <c r="L35" s="6" t="s">
        <v>56</v>
      </c>
      <c r="M35" s="6" t="s">
        <v>57</v>
      </c>
      <c r="N35" s="8" t="s">
        <v>75</v>
      </c>
    </row>
    <row r="36" spans="1:16" s="3" customFormat="1" ht="14.25" thickTop="1" thickBot="1">
      <c r="G36" s="173"/>
      <c r="H36" s="174"/>
      <c r="I36" s="15">
        <f t="shared" ref="I36:N36" si="1">SUM(I33:I34)</f>
        <v>0.32399999999999995</v>
      </c>
      <c r="J36" s="15">
        <f t="shared" si="1"/>
        <v>0.16199999999999998</v>
      </c>
      <c r="K36" s="15">
        <f t="shared" si="1"/>
        <v>0.24299999999999997</v>
      </c>
      <c r="L36" s="15">
        <f t="shared" si="1"/>
        <v>2.3142857142857141</v>
      </c>
      <c r="M36" s="15">
        <f t="shared" si="1"/>
        <v>1.157142857142857</v>
      </c>
      <c r="N36" s="15">
        <f t="shared" si="1"/>
        <v>0</v>
      </c>
    </row>
    <row r="37" spans="1:16" s="3" customFormat="1" ht="13.5" thickTop="1">
      <c r="G37" s="173"/>
      <c r="H37" s="174"/>
      <c r="I37" s="10" t="s">
        <v>76</v>
      </c>
      <c r="J37" s="10" t="s">
        <v>64</v>
      </c>
      <c r="K37" s="11" t="s">
        <v>64</v>
      </c>
      <c r="L37" s="10" t="s">
        <v>65</v>
      </c>
      <c r="M37" s="10" t="s">
        <v>66</v>
      </c>
      <c r="N37" s="12" t="s">
        <v>77</v>
      </c>
    </row>
    <row r="38" spans="1:16" s="3" customFormat="1" ht="13.5" thickBot="1">
      <c r="G38" s="175"/>
      <c r="H38" s="176"/>
      <c r="I38" s="22">
        <f>I36*52</f>
        <v>16.847999999999999</v>
      </c>
      <c r="J38" s="140">
        <f>J36*52</f>
        <v>8.4239999999999995</v>
      </c>
      <c r="K38" s="22">
        <f>K36*52</f>
        <v>12.635999999999997</v>
      </c>
      <c r="L38" s="22">
        <f>ROUNDUP(L36,0)</f>
        <v>3</v>
      </c>
      <c r="M38" s="22">
        <f>ROUNDUP(M36,0)</f>
        <v>2</v>
      </c>
      <c r="N38" s="23">
        <f>ROUND(N36,0)</f>
        <v>0</v>
      </c>
    </row>
    <row r="39" spans="1:16" s="3" customFormat="1" ht="18.75">
      <c r="G39" s="139"/>
      <c r="H39" s="139"/>
      <c r="I39" s="18"/>
      <c r="J39" s="18"/>
      <c r="K39" s="18"/>
      <c r="L39" s="18"/>
      <c r="M39" s="18"/>
      <c r="N39" s="19"/>
    </row>
    <row r="40" spans="1:16" s="3" customFormat="1" ht="18.75">
      <c r="G40" s="139"/>
      <c r="H40" s="139"/>
      <c r="I40" s="18"/>
      <c r="J40" s="18"/>
      <c r="K40" s="18"/>
      <c r="L40" s="18"/>
      <c r="M40" s="18"/>
      <c r="N40" s="18"/>
    </row>
    <row r="41" spans="1:16" s="3" customFormat="1" ht="18.75">
      <c r="G41" s="139"/>
      <c r="H41" s="139"/>
      <c r="I41" s="18"/>
      <c r="J41" s="18"/>
      <c r="K41" s="18"/>
      <c r="L41" s="18"/>
      <c r="M41" s="18"/>
      <c r="N41" s="19"/>
    </row>
    <row r="42" spans="1:16" s="3" customFormat="1" ht="19.5" thickBot="1">
      <c r="A42" s="4" t="s">
        <v>78</v>
      </c>
      <c r="B42" s="4" t="s">
        <v>79</v>
      </c>
      <c r="D42" s="20" t="s">
        <v>80</v>
      </c>
    </row>
    <row r="43" spans="1:16" s="3" customFormat="1" ht="15">
      <c r="B43" s="5" t="s">
        <v>32</v>
      </c>
      <c r="C43" s="6" t="s">
        <v>33</v>
      </c>
      <c r="D43" s="6" t="s">
        <v>4</v>
      </c>
      <c r="E43" s="6" t="s">
        <v>50</v>
      </c>
      <c r="F43" s="6" t="s">
        <v>81</v>
      </c>
      <c r="G43" s="6" t="s">
        <v>36</v>
      </c>
      <c r="H43" s="6" t="s">
        <v>52</v>
      </c>
      <c r="I43" s="6" t="s">
        <v>82</v>
      </c>
      <c r="J43" s="6" t="s">
        <v>54</v>
      </c>
      <c r="K43" s="7" t="s">
        <v>55</v>
      </c>
      <c r="L43" s="6" t="s">
        <v>56</v>
      </c>
      <c r="M43" s="6" t="s">
        <v>57</v>
      </c>
      <c r="N43" s="8" t="s">
        <v>83</v>
      </c>
    </row>
    <row r="44" spans="1:16" s="3" customFormat="1">
      <c r="B44" s="9" t="s">
        <v>84</v>
      </c>
      <c r="C44" s="10">
        <v>11</v>
      </c>
      <c r="D44" s="84">
        <f>$U$3-($C$6*$B$6)</f>
        <v>5</v>
      </c>
      <c r="E44" s="84">
        <f>G3</f>
        <v>0.4</v>
      </c>
      <c r="F44" s="84">
        <v>0.4</v>
      </c>
      <c r="G44" s="84">
        <v>2</v>
      </c>
      <c r="H44" s="10">
        <f>E44*F44*D44*G44</f>
        <v>1.6000000000000003</v>
      </c>
      <c r="I44" s="24">
        <f>H44/3</f>
        <v>0.53333333333333344</v>
      </c>
      <c r="J44" s="10">
        <f>I44*1.2</f>
        <v>0.64000000000000012</v>
      </c>
      <c r="K44" s="11">
        <v>0</v>
      </c>
      <c r="L44" s="21">
        <f>I44*300/42</f>
        <v>3.8095238095238102</v>
      </c>
      <c r="M44" s="21">
        <f>I44*200/225</f>
        <v>0.47407407407407415</v>
      </c>
      <c r="N44" s="12">
        <f>H44/3*2</f>
        <v>1.0666666666666669</v>
      </c>
    </row>
    <row r="45" spans="1:16" s="3" customFormat="1">
      <c r="B45" s="9" t="s">
        <v>85</v>
      </c>
      <c r="C45" s="10">
        <v>12</v>
      </c>
      <c r="D45" s="84">
        <f>$U$4-($C$7*$B$7)</f>
        <v>3.9999999999999996</v>
      </c>
      <c r="E45" s="84">
        <f>G3</f>
        <v>0.4</v>
      </c>
      <c r="F45" s="84">
        <v>0.4</v>
      </c>
      <c r="G45" s="84">
        <f>B5+1</f>
        <v>3</v>
      </c>
      <c r="H45" s="10">
        <f>E45*F45*D45*G45</f>
        <v>1.92</v>
      </c>
      <c r="I45" s="24">
        <f>H45/3</f>
        <v>0.64</v>
      </c>
      <c r="J45" s="24">
        <f>I45*1.2</f>
        <v>0.76800000000000002</v>
      </c>
      <c r="K45" s="11">
        <v>0</v>
      </c>
      <c r="L45" s="21">
        <f>I45*300/42</f>
        <v>4.5714285714285712</v>
      </c>
      <c r="M45" s="21">
        <f>I45*200/225</f>
        <v>0.56888888888888889</v>
      </c>
      <c r="N45" s="12">
        <f>H45/3*2</f>
        <v>1.28</v>
      </c>
    </row>
    <row r="46" spans="1:16" s="3" customFormat="1" ht="13.5" thickBot="1"/>
    <row r="47" spans="1:16" s="3" customFormat="1" ht="13.5" thickBot="1">
      <c r="G47" s="171" t="s">
        <v>43</v>
      </c>
      <c r="H47" s="172"/>
      <c r="I47" s="6" t="s">
        <v>86</v>
      </c>
      <c r="J47" s="6" t="s">
        <v>62</v>
      </c>
      <c r="K47" s="7" t="s">
        <v>55</v>
      </c>
      <c r="L47" s="6" t="s">
        <v>56</v>
      </c>
      <c r="M47" s="6" t="s">
        <v>57</v>
      </c>
      <c r="N47" s="8" t="s">
        <v>75</v>
      </c>
    </row>
    <row r="48" spans="1:16" s="3" customFormat="1" ht="14.25" thickTop="1" thickBot="1">
      <c r="G48" s="173"/>
      <c r="H48" s="174"/>
      <c r="I48" s="15">
        <f>SUM(I44:I45)</f>
        <v>1.1733333333333333</v>
      </c>
      <c r="J48" s="25">
        <f>SUM(J44:J45)</f>
        <v>1.4080000000000001</v>
      </c>
      <c r="K48" s="16"/>
      <c r="L48" s="15">
        <f>SUM(L44:L45)</f>
        <v>8.3809523809523814</v>
      </c>
      <c r="M48" s="15">
        <f>SUM(M44:M45)</f>
        <v>1.0429629629629631</v>
      </c>
      <c r="N48" s="15">
        <f>(SUM(N44:N45))</f>
        <v>2.3466666666666667</v>
      </c>
      <c r="P48" s="26"/>
    </row>
    <row r="49" spans="1:14" s="3" customFormat="1" ht="13.5" thickTop="1">
      <c r="G49" s="173"/>
      <c r="H49" s="174"/>
      <c r="I49" s="10" t="s">
        <v>64</v>
      </c>
      <c r="J49" s="10" t="s">
        <v>64</v>
      </c>
      <c r="K49" s="10" t="s">
        <v>64</v>
      </c>
      <c r="L49" s="10" t="s">
        <v>65</v>
      </c>
      <c r="M49" s="10" t="s">
        <v>66</v>
      </c>
      <c r="N49" s="12" t="s">
        <v>77</v>
      </c>
    </row>
    <row r="50" spans="1:14" s="3" customFormat="1" ht="13.5" thickBot="1">
      <c r="G50" s="175"/>
      <c r="H50" s="176"/>
      <c r="I50" s="22">
        <f>ROUND(I48*52,0)</f>
        <v>61</v>
      </c>
      <c r="J50" s="140">
        <f>ROUND(J48*52,0)</f>
        <v>73</v>
      </c>
      <c r="K50" s="22">
        <f>ROUND(K48*52,0)</f>
        <v>0</v>
      </c>
      <c r="L50" s="22">
        <f>ROUNDUP(L48,0)</f>
        <v>9</v>
      </c>
      <c r="M50" s="22">
        <f>ROUNDUP(M48,0)</f>
        <v>2</v>
      </c>
      <c r="N50" s="23">
        <v>3</v>
      </c>
    </row>
    <row r="51" spans="1:14" s="3" customFormat="1" ht="18.75">
      <c r="G51" s="139"/>
      <c r="H51" s="139"/>
      <c r="I51" s="18"/>
      <c r="J51" s="18"/>
      <c r="K51" s="18"/>
      <c r="L51" s="18"/>
      <c r="M51" s="18"/>
      <c r="N51" s="18"/>
    </row>
    <row r="52" spans="1:14" s="3" customFormat="1" ht="19.5" thickBot="1">
      <c r="A52" s="4" t="s">
        <v>87</v>
      </c>
      <c r="B52" s="4" t="s">
        <v>69</v>
      </c>
      <c r="D52" s="20" t="s">
        <v>70</v>
      </c>
    </row>
    <row r="53" spans="1:14" s="3" customFormat="1">
      <c r="B53" s="5" t="s">
        <v>71</v>
      </c>
      <c r="C53" s="6" t="s">
        <v>33</v>
      </c>
      <c r="D53" s="6" t="s">
        <v>4</v>
      </c>
      <c r="E53" s="6" t="s">
        <v>34</v>
      </c>
      <c r="F53" s="6" t="s">
        <v>35</v>
      </c>
      <c r="G53" s="6" t="s">
        <v>36</v>
      </c>
      <c r="H53" s="6" t="s">
        <v>52</v>
      </c>
      <c r="I53" s="6" t="s">
        <v>72</v>
      </c>
      <c r="J53" s="6" t="s">
        <v>54</v>
      </c>
      <c r="K53" s="7" t="s">
        <v>55</v>
      </c>
      <c r="L53" s="6" t="s">
        <v>56</v>
      </c>
      <c r="M53" s="6" t="s">
        <v>57</v>
      </c>
      <c r="N53" s="8" t="s">
        <v>73</v>
      </c>
    </row>
    <row r="54" spans="1:14" s="3" customFormat="1">
      <c r="B54" s="9" t="s">
        <v>88</v>
      </c>
      <c r="C54" s="10">
        <v>13</v>
      </c>
      <c r="D54" s="10">
        <f>G3</f>
        <v>0.4</v>
      </c>
      <c r="E54" s="10">
        <f>G3</f>
        <v>0.4</v>
      </c>
      <c r="F54" s="10">
        <v>0.4</v>
      </c>
      <c r="G54" s="10">
        <v>9</v>
      </c>
      <c r="H54" s="10">
        <f>F54*E54*D54*G54</f>
        <v>0.57600000000000018</v>
      </c>
      <c r="I54" s="10">
        <f>H54</f>
        <v>0.57600000000000018</v>
      </c>
      <c r="J54" s="10">
        <f>H54/4*2</f>
        <v>0.28800000000000009</v>
      </c>
      <c r="K54" s="10">
        <f>H54/4*3</f>
        <v>0.43200000000000016</v>
      </c>
      <c r="L54" s="24">
        <f>H54*300/42</f>
        <v>4.1142857142857157</v>
      </c>
      <c r="M54" s="24">
        <f>L54/2</f>
        <v>2.0571428571428578</v>
      </c>
      <c r="N54" s="12">
        <v>0</v>
      </c>
    </row>
    <row r="55" spans="1:14" s="3" customFormat="1">
      <c r="B55" s="9" t="s">
        <v>89</v>
      </c>
      <c r="C55" s="10"/>
      <c r="D55" s="10">
        <v>0.6</v>
      </c>
      <c r="E55" s="10">
        <v>0.6</v>
      </c>
      <c r="F55" s="10">
        <v>0.3</v>
      </c>
      <c r="G55" s="10">
        <v>9</v>
      </c>
      <c r="H55" s="10">
        <f>F55*E55*D55*G55</f>
        <v>0.97199999999999998</v>
      </c>
      <c r="I55" s="10">
        <f>H55</f>
        <v>0.97199999999999998</v>
      </c>
      <c r="J55" s="10">
        <f>H55/4*2</f>
        <v>0.48599999999999999</v>
      </c>
      <c r="K55" s="10">
        <f>H55/4*3</f>
        <v>0.72899999999999998</v>
      </c>
      <c r="L55" s="24">
        <f>H55*300/42</f>
        <v>6.9428571428571422</v>
      </c>
      <c r="M55" s="24">
        <f>L55/2</f>
        <v>3.4714285714285711</v>
      </c>
      <c r="N55" s="12">
        <v>0</v>
      </c>
    </row>
    <row r="56" spans="1:14" s="3" customFormat="1" ht="13.5" thickBot="1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s="3" customFormat="1" ht="13.5" thickBot="1">
      <c r="G57" s="171" t="s">
        <v>43</v>
      </c>
      <c r="H57" s="172"/>
      <c r="I57" s="6" t="s">
        <v>61</v>
      </c>
      <c r="J57" s="6" t="s">
        <v>62</v>
      </c>
      <c r="K57" s="7" t="s">
        <v>63</v>
      </c>
      <c r="L57" s="6" t="s">
        <v>56</v>
      </c>
      <c r="M57" s="6" t="s">
        <v>57</v>
      </c>
      <c r="N57" s="8" t="s">
        <v>75</v>
      </c>
    </row>
    <row r="58" spans="1:14" s="3" customFormat="1" ht="14.25" thickTop="1" thickBot="1">
      <c r="G58" s="173"/>
      <c r="H58" s="174"/>
      <c r="I58" s="15">
        <f t="shared" ref="I58:N58" si="2">SUM(I54:I56)</f>
        <v>1.548</v>
      </c>
      <c r="J58" s="15">
        <f t="shared" si="2"/>
        <v>0.77400000000000002</v>
      </c>
      <c r="K58" s="15">
        <f t="shared" si="2"/>
        <v>1.161</v>
      </c>
      <c r="L58" s="15">
        <f t="shared" si="2"/>
        <v>11.057142857142857</v>
      </c>
      <c r="M58" s="15">
        <f t="shared" si="2"/>
        <v>5.5285714285714285</v>
      </c>
      <c r="N58" s="15">
        <f t="shared" si="2"/>
        <v>0</v>
      </c>
    </row>
    <row r="59" spans="1:14" s="3" customFormat="1" ht="13.5" thickTop="1">
      <c r="G59" s="173"/>
      <c r="H59" s="174"/>
      <c r="I59" s="10" t="s">
        <v>76</v>
      </c>
      <c r="J59" s="10" t="s">
        <v>64</v>
      </c>
      <c r="K59" s="11" t="s">
        <v>64</v>
      </c>
      <c r="L59" s="10" t="s">
        <v>65</v>
      </c>
      <c r="M59" s="10" t="s">
        <v>66</v>
      </c>
      <c r="N59" s="12" t="s">
        <v>77</v>
      </c>
    </row>
    <row r="60" spans="1:14" s="3" customFormat="1" ht="13.5" thickBot="1">
      <c r="G60" s="175"/>
      <c r="H60" s="176"/>
      <c r="I60" s="22">
        <f>I58*52</f>
        <v>80.496000000000009</v>
      </c>
      <c r="J60" s="140">
        <f>J58*52</f>
        <v>40.248000000000005</v>
      </c>
      <c r="K60" s="22">
        <f>K58*52</f>
        <v>60.372</v>
      </c>
      <c r="L60" s="22">
        <f>ROUNDUP(L58,0)</f>
        <v>12</v>
      </c>
      <c r="M60" s="22">
        <f>ROUNDUP(M58,0)</f>
        <v>6</v>
      </c>
      <c r="N60" s="23">
        <f>ROUND(N58,0)</f>
        <v>0</v>
      </c>
    </row>
    <row r="61" spans="1:14" s="3" customFormat="1" ht="18.75">
      <c r="G61" s="139"/>
      <c r="H61" s="139"/>
      <c r="I61" s="18"/>
      <c r="J61" s="18"/>
      <c r="K61" s="18"/>
      <c r="L61" s="18"/>
      <c r="M61" s="18"/>
      <c r="N61" s="18"/>
    </row>
    <row r="62" spans="1:14" s="3" customFormat="1"/>
    <row r="63" spans="1:14" s="3" customFormat="1" ht="19.5" thickBot="1">
      <c r="A63" s="4" t="s">
        <v>90</v>
      </c>
      <c r="B63" s="4" t="s">
        <v>69</v>
      </c>
      <c r="D63" s="20" t="s">
        <v>70</v>
      </c>
    </row>
    <row r="64" spans="1:14" s="3" customFormat="1" ht="15">
      <c r="B64" s="5" t="s">
        <v>32</v>
      </c>
      <c r="C64" s="6" t="s">
        <v>33</v>
      </c>
      <c r="D64" s="6" t="s">
        <v>4</v>
      </c>
      <c r="E64" s="6" t="s">
        <v>34</v>
      </c>
      <c r="F64" s="6" t="s">
        <v>35</v>
      </c>
      <c r="G64" s="6" t="s">
        <v>36</v>
      </c>
      <c r="H64" s="6" t="s">
        <v>52</v>
      </c>
      <c r="I64" s="6" t="s">
        <v>72</v>
      </c>
      <c r="J64" s="6" t="s">
        <v>54</v>
      </c>
      <c r="K64" s="7" t="s">
        <v>55</v>
      </c>
      <c r="L64" s="6" t="s">
        <v>56</v>
      </c>
      <c r="M64" s="6" t="s">
        <v>57</v>
      </c>
      <c r="N64" s="8" t="s">
        <v>73</v>
      </c>
    </row>
    <row r="65" spans="1:14" s="3" customFormat="1">
      <c r="B65" s="9" t="s">
        <v>50</v>
      </c>
      <c r="C65" s="10">
        <v>14</v>
      </c>
      <c r="D65" s="10">
        <f>T4-E3*3</f>
        <v>5</v>
      </c>
      <c r="E65" s="10">
        <f>E3</f>
        <v>0.2</v>
      </c>
      <c r="F65" s="10">
        <v>0.2</v>
      </c>
      <c r="G65" s="10">
        <v>3</v>
      </c>
      <c r="H65" s="10">
        <f>F65*E65*D65*G65</f>
        <v>0.60000000000000009</v>
      </c>
      <c r="I65" s="10">
        <f>H65</f>
        <v>0.60000000000000009</v>
      </c>
      <c r="J65" s="10">
        <f>H65/4*2</f>
        <v>0.30000000000000004</v>
      </c>
      <c r="K65" s="10">
        <f>H65/4*3</f>
        <v>0.45000000000000007</v>
      </c>
      <c r="L65" s="24">
        <f>H65*300/42</f>
        <v>4.2857142857142865</v>
      </c>
      <c r="M65" s="24">
        <f>L65/2</f>
        <v>2.1428571428571432</v>
      </c>
      <c r="N65" s="12">
        <v>0</v>
      </c>
    </row>
    <row r="66" spans="1:14" s="3" customFormat="1">
      <c r="B66" s="9" t="s">
        <v>91</v>
      </c>
      <c r="C66" s="10">
        <v>15</v>
      </c>
      <c r="D66" s="10">
        <f>T3</f>
        <v>6.8</v>
      </c>
      <c r="E66" s="10">
        <f>E3</f>
        <v>0.2</v>
      </c>
      <c r="F66" s="10">
        <v>0.2</v>
      </c>
      <c r="G66" s="10">
        <v>2</v>
      </c>
      <c r="H66" s="10">
        <f>F66*E66*D66*G66</f>
        <v>0.54400000000000004</v>
      </c>
      <c r="I66" s="10">
        <f>H66</f>
        <v>0.54400000000000004</v>
      </c>
      <c r="J66" s="10">
        <f>H66/4*2</f>
        <v>0.27200000000000002</v>
      </c>
      <c r="K66" s="10">
        <f>H66/4*3</f>
        <v>0.40800000000000003</v>
      </c>
      <c r="L66" s="24">
        <f>H66*300/42</f>
        <v>3.8857142857142861</v>
      </c>
      <c r="M66" s="24">
        <f>L66/2</f>
        <v>1.9428571428571431</v>
      </c>
      <c r="N66" s="12">
        <v>0</v>
      </c>
    </row>
    <row r="67" spans="1:14" s="3" customFormat="1" ht="15" customHeight="1" thickBot="1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s="3" customFormat="1" ht="13.5" thickBot="1">
      <c r="G68" s="171" t="s">
        <v>43</v>
      </c>
      <c r="H68" s="172"/>
      <c r="I68" s="6" t="s">
        <v>61</v>
      </c>
      <c r="J68" s="6" t="s">
        <v>62</v>
      </c>
      <c r="K68" s="7" t="s">
        <v>63</v>
      </c>
      <c r="L68" s="6" t="s">
        <v>56</v>
      </c>
      <c r="M68" s="6" t="s">
        <v>57</v>
      </c>
      <c r="N68" s="8" t="s">
        <v>75</v>
      </c>
    </row>
    <row r="69" spans="1:14" s="3" customFormat="1" ht="14.25" thickTop="1" thickBot="1">
      <c r="G69" s="173"/>
      <c r="H69" s="174"/>
      <c r="I69" s="15">
        <f>SUM(I65:I66)</f>
        <v>1.1440000000000001</v>
      </c>
      <c r="J69" s="15">
        <f>SUM(J65:J66)</f>
        <v>0.57200000000000006</v>
      </c>
      <c r="K69" s="15">
        <f>SUM(K65:K66)</f>
        <v>0.8580000000000001</v>
      </c>
      <c r="L69" s="15">
        <f>SUM(L65:L66)</f>
        <v>8.1714285714285726</v>
      </c>
      <c r="M69" s="15">
        <f>SUM(M65:M66)</f>
        <v>4.0857142857142863</v>
      </c>
      <c r="N69" s="15">
        <f>SUM(N67:N68)</f>
        <v>0</v>
      </c>
    </row>
    <row r="70" spans="1:14" s="3" customFormat="1" ht="13.5" thickTop="1">
      <c r="G70" s="173"/>
      <c r="H70" s="174"/>
      <c r="I70" s="10" t="s">
        <v>76</v>
      </c>
      <c r="J70" s="10" t="s">
        <v>64</v>
      </c>
      <c r="K70" s="11" t="s">
        <v>64</v>
      </c>
      <c r="L70" s="10" t="s">
        <v>65</v>
      </c>
      <c r="M70" s="10" t="s">
        <v>66</v>
      </c>
      <c r="N70" s="12" t="s">
        <v>77</v>
      </c>
    </row>
    <row r="71" spans="1:14" s="3" customFormat="1" ht="13.5" thickBot="1">
      <c r="G71" s="175"/>
      <c r="H71" s="176"/>
      <c r="I71" s="22">
        <f>I69*52</f>
        <v>59.488000000000007</v>
      </c>
      <c r="J71" s="141">
        <f>J69*52</f>
        <v>29.744000000000003</v>
      </c>
      <c r="K71" s="22">
        <f>K69*52</f>
        <v>44.616000000000007</v>
      </c>
      <c r="L71" s="22">
        <f>ROUNDUP(L69,0)</f>
        <v>9</v>
      </c>
      <c r="M71" s="22">
        <f>ROUNDUP(M69,0)</f>
        <v>5</v>
      </c>
      <c r="N71" s="23">
        <f>ROUND(N69,0)</f>
        <v>0</v>
      </c>
    </row>
    <row r="72" spans="1:14" s="3" customFormat="1" ht="19.5" thickBot="1">
      <c r="A72" s="4" t="s">
        <v>92</v>
      </c>
      <c r="B72" s="4" t="s">
        <v>93</v>
      </c>
      <c r="D72" s="20" t="s">
        <v>70</v>
      </c>
    </row>
    <row r="73" spans="1:14" s="3" customFormat="1" ht="15">
      <c r="B73" s="5" t="s">
        <v>32</v>
      </c>
      <c r="C73" s="6" t="s">
        <v>33</v>
      </c>
      <c r="D73" s="6" t="s">
        <v>4</v>
      </c>
      <c r="E73" s="6" t="s">
        <v>34</v>
      </c>
      <c r="F73" s="6" t="s">
        <v>35</v>
      </c>
      <c r="G73" s="6" t="s">
        <v>36</v>
      </c>
      <c r="H73" s="6" t="s">
        <v>52</v>
      </c>
      <c r="I73" s="6" t="s">
        <v>94</v>
      </c>
      <c r="J73" s="6" t="s">
        <v>54</v>
      </c>
      <c r="K73" s="7" t="s">
        <v>55</v>
      </c>
      <c r="L73" s="6" t="s">
        <v>56</v>
      </c>
      <c r="M73" s="6" t="s">
        <v>57</v>
      </c>
      <c r="N73" s="8" t="s">
        <v>73</v>
      </c>
    </row>
    <row r="74" spans="1:14" s="3" customFormat="1">
      <c r="B74" s="9" t="s">
        <v>50</v>
      </c>
      <c r="C74" s="10">
        <v>14</v>
      </c>
      <c r="D74" s="10">
        <v>5.4</v>
      </c>
      <c r="E74" s="10">
        <v>6.6</v>
      </c>
      <c r="F74" s="10">
        <v>0.1</v>
      </c>
      <c r="G74" s="10">
        <v>1</v>
      </c>
      <c r="H74" s="10">
        <f>F74*E74*D74*G74</f>
        <v>3.5640000000000005</v>
      </c>
      <c r="I74" s="10">
        <f>H74</f>
        <v>3.5640000000000005</v>
      </c>
      <c r="J74" s="10">
        <f>H74/4*2</f>
        <v>1.7820000000000003</v>
      </c>
      <c r="K74" s="10">
        <f>H74/4*3</f>
        <v>2.6730000000000005</v>
      </c>
      <c r="L74" s="24">
        <f>H74*450/42</f>
        <v>38.18571428571429</v>
      </c>
      <c r="M74" s="24">
        <f>L74/2</f>
        <v>19.092857142857145</v>
      </c>
      <c r="N74" s="12">
        <v>0</v>
      </c>
    </row>
    <row r="75" spans="1:14" s="3" customFormat="1">
      <c r="B75" s="9" t="s">
        <v>95</v>
      </c>
      <c r="C75" s="10"/>
      <c r="D75" s="10">
        <v>5</v>
      </c>
      <c r="E75" s="10">
        <v>6</v>
      </c>
      <c r="F75" s="10">
        <v>0.2</v>
      </c>
      <c r="G75" s="10">
        <v>1</v>
      </c>
      <c r="H75" s="10">
        <f>F75*E75*D75*G75</f>
        <v>6.0000000000000009</v>
      </c>
      <c r="I75" s="10"/>
      <c r="J75" s="10"/>
      <c r="K75" s="10">
        <f>H75</f>
        <v>6.0000000000000009</v>
      </c>
      <c r="L75" s="24"/>
      <c r="M75" s="24"/>
      <c r="N75" s="12"/>
    </row>
    <row r="76" spans="1:14" s="3" customFormat="1" ht="15" customHeight="1" thickBot="1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1:14" s="3" customFormat="1" ht="13.5" thickBot="1">
      <c r="G77" s="171" t="s">
        <v>43</v>
      </c>
      <c r="H77" s="172"/>
      <c r="I77" s="6" t="s">
        <v>61</v>
      </c>
      <c r="J77" s="6" t="s">
        <v>62</v>
      </c>
      <c r="K77" s="7" t="s">
        <v>63</v>
      </c>
      <c r="L77" s="6" t="s">
        <v>56</v>
      </c>
      <c r="M77" s="6" t="s">
        <v>57</v>
      </c>
      <c r="N77" s="8" t="s">
        <v>75</v>
      </c>
    </row>
    <row r="78" spans="1:14" s="3" customFormat="1" ht="14.25" thickTop="1" thickBot="1">
      <c r="G78" s="173"/>
      <c r="H78" s="174"/>
      <c r="I78" s="15">
        <f>SUM(I74:I74)</f>
        <v>3.5640000000000005</v>
      </c>
      <c r="J78" s="15">
        <f>SUM(J74:J74)</f>
        <v>1.7820000000000003</v>
      </c>
      <c r="K78" s="15">
        <f>SUM(K74:K74)</f>
        <v>2.6730000000000005</v>
      </c>
      <c r="L78" s="15">
        <f>SUM(L74:L74)</f>
        <v>38.18571428571429</v>
      </c>
      <c r="M78" s="15">
        <f>SUM(M74:M74)</f>
        <v>19.092857142857145</v>
      </c>
      <c r="N78" s="15">
        <f>SUM(N76:N77)</f>
        <v>0</v>
      </c>
    </row>
    <row r="79" spans="1:14" s="3" customFormat="1" ht="13.5" thickTop="1">
      <c r="G79" s="173"/>
      <c r="H79" s="174"/>
      <c r="I79" s="10" t="s">
        <v>76</v>
      </c>
      <c r="J79" s="10" t="s">
        <v>64</v>
      </c>
      <c r="K79" s="11" t="s">
        <v>64</v>
      </c>
      <c r="L79" s="10" t="s">
        <v>65</v>
      </c>
      <c r="M79" s="10" t="s">
        <v>66</v>
      </c>
      <c r="N79" s="12" t="s">
        <v>77</v>
      </c>
    </row>
    <row r="80" spans="1:14" s="3" customFormat="1" ht="13.5" thickBot="1">
      <c r="G80" s="175"/>
      <c r="H80" s="176"/>
      <c r="I80" s="22">
        <f>I78*52</f>
        <v>185.32800000000003</v>
      </c>
      <c r="J80" s="141">
        <f>J78*52</f>
        <v>92.664000000000016</v>
      </c>
      <c r="K80" s="22">
        <f>K78*52</f>
        <v>138.99600000000004</v>
      </c>
      <c r="L80" s="22">
        <f>ROUNDUP(L78,0)</f>
        <v>39</v>
      </c>
      <c r="M80" s="22">
        <f>ROUNDUP(M78,0)</f>
        <v>20</v>
      </c>
      <c r="N80" s="23">
        <f>ROUND(N78,0)</f>
        <v>0</v>
      </c>
    </row>
    <row r="81" spans="1:17" s="3" customFormat="1" ht="19.5" thickBot="1">
      <c r="A81" s="4" t="s">
        <v>6</v>
      </c>
      <c r="B81" s="4" t="s">
        <v>96</v>
      </c>
      <c r="D81" s="20" t="s">
        <v>97</v>
      </c>
    </row>
    <row r="82" spans="1:17" s="3" customFormat="1" ht="15">
      <c r="B82" s="5" t="s">
        <v>32</v>
      </c>
      <c r="C82" s="6" t="s">
        <v>33</v>
      </c>
      <c r="D82" s="6" t="s">
        <v>4</v>
      </c>
      <c r="E82" s="6" t="s">
        <v>50</v>
      </c>
      <c r="F82" s="6" t="s">
        <v>81</v>
      </c>
      <c r="G82" s="6" t="s">
        <v>36</v>
      </c>
      <c r="H82" s="6" t="s">
        <v>98</v>
      </c>
      <c r="I82" s="6" t="s">
        <v>99</v>
      </c>
      <c r="J82" s="6" t="s">
        <v>54</v>
      </c>
      <c r="K82" s="7" t="s">
        <v>55</v>
      </c>
      <c r="L82" s="6" t="s">
        <v>56</v>
      </c>
      <c r="M82" s="6" t="s">
        <v>57</v>
      </c>
      <c r="N82" s="8" t="s">
        <v>73</v>
      </c>
      <c r="O82" s="8" t="s">
        <v>100</v>
      </c>
    </row>
    <row r="83" spans="1:17" s="3" customFormat="1">
      <c r="B83" s="9" t="s">
        <v>101</v>
      </c>
      <c r="C83" s="10">
        <v>16</v>
      </c>
      <c r="D83" s="10">
        <f>T3-(E3*(B6+1))</f>
        <v>6</v>
      </c>
      <c r="E83" s="10">
        <f>$E$3</f>
        <v>0.2</v>
      </c>
      <c r="F83" s="10">
        <v>1.3</v>
      </c>
      <c r="G83" s="10">
        <v>2</v>
      </c>
      <c r="H83" s="10">
        <f>F83*D83*G83</f>
        <v>15.600000000000001</v>
      </c>
      <c r="I83" s="24">
        <f>O83*0.006</f>
        <v>1.17</v>
      </c>
      <c r="J83" s="10">
        <f>I83*1.1</f>
        <v>1.2869999999999999</v>
      </c>
      <c r="K83" s="11">
        <v>0</v>
      </c>
      <c r="L83" s="21">
        <f>I83*300/42</f>
        <v>8.3571428571428577</v>
      </c>
      <c r="M83" s="24">
        <f>L83/2</f>
        <v>4.1785714285714288</v>
      </c>
      <c r="N83" s="12">
        <v>0</v>
      </c>
      <c r="O83" s="12">
        <f>H83/0.08</f>
        <v>195</v>
      </c>
    </row>
    <row r="84" spans="1:17" s="3" customFormat="1">
      <c r="B84" s="9" t="s">
        <v>102</v>
      </c>
      <c r="C84" s="10">
        <v>18</v>
      </c>
      <c r="D84" s="10">
        <f>T4-(E3*4)</f>
        <v>4.8</v>
      </c>
      <c r="E84" s="10">
        <f>$E$3</f>
        <v>0.2</v>
      </c>
      <c r="F84" s="10">
        <v>1.3</v>
      </c>
      <c r="G84" s="10">
        <v>3</v>
      </c>
      <c r="H84" s="10">
        <f>F84*D84*G84</f>
        <v>18.72</v>
      </c>
      <c r="I84" s="24">
        <f>O84*0.006</f>
        <v>1.4039999999999999</v>
      </c>
      <c r="J84" s="10">
        <f>I84*1.1</f>
        <v>1.5444</v>
      </c>
      <c r="K84" s="11">
        <v>0</v>
      </c>
      <c r="L84" s="21">
        <f>I84*300/42</f>
        <v>10.028571428571428</v>
      </c>
      <c r="M84" s="24">
        <f>L84/2</f>
        <v>5.0142857142857142</v>
      </c>
      <c r="N84" s="12">
        <v>0</v>
      </c>
      <c r="O84" s="12">
        <f>H84/0.08</f>
        <v>233.99999999999997</v>
      </c>
    </row>
    <row r="85" spans="1:17" s="3" customFormat="1" ht="13.5" thickBot="1">
      <c r="N85" s="13"/>
    </row>
    <row r="86" spans="1:17" s="3" customFormat="1" ht="13.5" thickBot="1">
      <c r="G86" s="171" t="s">
        <v>43</v>
      </c>
      <c r="H86" s="172"/>
      <c r="I86" s="6" t="s">
        <v>103</v>
      </c>
      <c r="J86" s="6" t="s">
        <v>62</v>
      </c>
      <c r="K86" s="7" t="s">
        <v>55</v>
      </c>
      <c r="L86" s="6" t="s">
        <v>56</v>
      </c>
      <c r="M86" s="6" t="s">
        <v>57</v>
      </c>
      <c r="N86" s="8" t="s">
        <v>75</v>
      </c>
      <c r="O86" s="8" t="s">
        <v>104</v>
      </c>
    </row>
    <row r="87" spans="1:17" s="3" customFormat="1" ht="14.25" thickTop="1" thickBot="1">
      <c r="G87" s="173"/>
      <c r="H87" s="174"/>
      <c r="I87" s="25">
        <f>SUM(I83:I84)</f>
        <v>2.5739999999999998</v>
      </c>
      <c r="J87" s="25">
        <f>SUM(J83:J84)</f>
        <v>2.8313999999999999</v>
      </c>
      <c r="K87" s="16"/>
      <c r="L87" s="15">
        <f>SUM(L83:L84)</f>
        <v>18.385714285714286</v>
      </c>
      <c r="M87" s="15">
        <f>SUM(M83:M84)</f>
        <v>9.1928571428571431</v>
      </c>
      <c r="N87" s="15">
        <f>SUM(N85:N86)</f>
        <v>0</v>
      </c>
      <c r="O87" s="15">
        <f>SUM(O83:O84)</f>
        <v>429</v>
      </c>
      <c r="Q87" s="26"/>
    </row>
    <row r="88" spans="1:17" s="3" customFormat="1" ht="13.5" thickTop="1">
      <c r="G88" s="173"/>
      <c r="H88" s="174"/>
      <c r="I88" s="10" t="s">
        <v>76</v>
      </c>
      <c r="J88" s="10" t="s">
        <v>64</v>
      </c>
      <c r="K88" s="11">
        <v>0</v>
      </c>
      <c r="L88" s="10" t="s">
        <v>65</v>
      </c>
      <c r="M88" s="10" t="s">
        <v>66</v>
      </c>
      <c r="N88" s="12" t="s">
        <v>77</v>
      </c>
      <c r="O88" s="12" t="s">
        <v>105</v>
      </c>
    </row>
    <row r="89" spans="1:17" s="3" customFormat="1" ht="13.5" thickBot="1">
      <c r="G89" s="175"/>
      <c r="H89" s="176"/>
      <c r="I89" s="22">
        <f>I87*52</f>
        <v>133.84799999999998</v>
      </c>
      <c r="J89" s="166">
        <f>J87*52</f>
        <v>147.2328</v>
      </c>
      <c r="K89" s="22">
        <f>K87*52</f>
        <v>0</v>
      </c>
      <c r="L89" s="22">
        <f>ROUNDUP(L87,0)</f>
        <v>19</v>
      </c>
      <c r="M89" s="22">
        <f>ROUNDUP(M87,0)</f>
        <v>10</v>
      </c>
      <c r="N89" s="23">
        <f>ROUND(N87,0)</f>
        <v>0</v>
      </c>
      <c r="O89" s="23">
        <v>450</v>
      </c>
    </row>
    <row r="90" spans="1:17" s="3" customFormat="1" ht="18.75">
      <c r="G90" s="139"/>
      <c r="H90" s="139"/>
      <c r="I90" s="18"/>
      <c r="J90" s="18"/>
      <c r="K90" s="18"/>
      <c r="L90" s="18"/>
      <c r="M90" s="18"/>
      <c r="N90" s="18"/>
    </row>
    <row r="91" spans="1:17" s="3" customFormat="1"/>
    <row r="92" spans="1:17" s="3" customFormat="1" ht="19.5" thickBot="1">
      <c r="A92" s="4" t="s">
        <v>106</v>
      </c>
      <c r="B92" s="4" t="s">
        <v>69</v>
      </c>
      <c r="D92" s="20" t="s">
        <v>70</v>
      </c>
    </row>
    <row r="93" spans="1:17" s="3" customFormat="1">
      <c r="B93" s="5" t="s">
        <v>49</v>
      </c>
      <c r="C93" s="6" t="s">
        <v>33</v>
      </c>
      <c r="D93" s="6" t="s">
        <v>4</v>
      </c>
      <c r="E93" s="6" t="s">
        <v>50</v>
      </c>
      <c r="F93" s="6" t="s">
        <v>81</v>
      </c>
      <c r="G93" s="6" t="s">
        <v>36</v>
      </c>
      <c r="H93" s="6" t="s">
        <v>52</v>
      </c>
      <c r="I93" s="6" t="s">
        <v>72</v>
      </c>
      <c r="J93" s="6" t="s">
        <v>54</v>
      </c>
      <c r="K93" s="7" t="s">
        <v>55</v>
      </c>
      <c r="L93" s="6" t="s">
        <v>56</v>
      </c>
      <c r="M93" s="6" t="s">
        <v>57</v>
      </c>
      <c r="N93" s="8" t="s">
        <v>73</v>
      </c>
    </row>
    <row r="94" spans="1:17" s="3" customFormat="1">
      <c r="B94" s="9" t="s">
        <v>107</v>
      </c>
      <c r="C94" s="10">
        <v>19</v>
      </c>
      <c r="D94" s="10">
        <f>$E$3</f>
        <v>0.2</v>
      </c>
      <c r="E94" s="10">
        <f>$E$3</f>
        <v>0.2</v>
      </c>
      <c r="F94" s="10">
        <v>1.3</v>
      </c>
      <c r="G94" s="10">
        <v>9</v>
      </c>
      <c r="H94" s="10">
        <f>F94*E94*D94*G94</f>
        <v>0.46800000000000003</v>
      </c>
      <c r="I94" s="10">
        <f>H94</f>
        <v>0.46800000000000003</v>
      </c>
      <c r="J94" s="10">
        <f>H94/4*2</f>
        <v>0.23400000000000001</v>
      </c>
      <c r="K94" s="10">
        <f>H94/4*3</f>
        <v>0.35100000000000003</v>
      </c>
      <c r="L94" s="24">
        <f>H94*300/42</f>
        <v>3.342857142857143</v>
      </c>
      <c r="M94" s="24">
        <f>L94/2</f>
        <v>1.6714285714285715</v>
      </c>
      <c r="N94" s="12">
        <v>0</v>
      </c>
    </row>
    <row r="95" spans="1:17" s="3" customFormat="1" ht="13.5" thickBot="1">
      <c r="B95" s="13"/>
      <c r="C95" s="101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1:17" s="3" customFormat="1" ht="13.5" thickBot="1">
      <c r="G96" s="171" t="s">
        <v>43</v>
      </c>
      <c r="H96" s="172"/>
      <c r="I96" s="6" t="s">
        <v>61</v>
      </c>
      <c r="J96" s="6" t="s">
        <v>62</v>
      </c>
      <c r="K96" s="7" t="s">
        <v>63</v>
      </c>
      <c r="L96" s="6" t="s">
        <v>56</v>
      </c>
      <c r="M96" s="6" t="s">
        <v>57</v>
      </c>
      <c r="N96" s="8" t="s">
        <v>75</v>
      </c>
    </row>
    <row r="97" spans="1:14" s="3" customFormat="1" ht="14.25" thickTop="1" thickBot="1">
      <c r="G97" s="173"/>
      <c r="H97" s="174"/>
      <c r="I97" s="15">
        <f>SUM(I93:I94)</f>
        <v>0.46800000000000003</v>
      </c>
      <c r="J97" s="15">
        <f>SUM(J93:J94)</f>
        <v>0.23400000000000001</v>
      </c>
      <c r="K97" s="15">
        <f>SUM(K93:K94)</f>
        <v>0.35100000000000003</v>
      </c>
      <c r="L97" s="15">
        <f>SUM(L93:L94)</f>
        <v>3.342857142857143</v>
      </c>
      <c r="M97" s="15">
        <f>SUM(M93:M94)</f>
        <v>1.6714285714285715</v>
      </c>
      <c r="N97" s="15">
        <f>SUM(N95:N96)</f>
        <v>0</v>
      </c>
    </row>
    <row r="98" spans="1:14" s="3" customFormat="1" ht="13.5" thickTop="1">
      <c r="G98" s="173"/>
      <c r="H98" s="174"/>
      <c r="I98" s="10" t="s">
        <v>76</v>
      </c>
      <c r="J98" s="10" t="s">
        <v>64</v>
      </c>
      <c r="K98" s="11" t="s">
        <v>64</v>
      </c>
      <c r="L98" s="10" t="s">
        <v>65</v>
      </c>
      <c r="M98" s="10" t="s">
        <v>66</v>
      </c>
      <c r="N98" s="12" t="s">
        <v>77</v>
      </c>
    </row>
    <row r="99" spans="1:14" s="3" customFormat="1" ht="13.5" thickBot="1">
      <c r="G99" s="175"/>
      <c r="H99" s="176"/>
      <c r="I99" s="22">
        <f>I97*52</f>
        <v>24.336000000000002</v>
      </c>
      <c r="J99" s="141">
        <f>J97*52</f>
        <v>12.168000000000001</v>
      </c>
      <c r="K99" s="22">
        <f>K97*52</f>
        <v>18.252000000000002</v>
      </c>
      <c r="L99" s="22">
        <f>ROUNDUP(L97,0)</f>
        <v>4</v>
      </c>
      <c r="M99" s="22">
        <f>ROUNDUP(M97,0)</f>
        <v>2</v>
      </c>
      <c r="N99" s="23">
        <f>ROUND(N97,0)</f>
        <v>0</v>
      </c>
    </row>
    <row r="100" spans="1:14" s="3" customFormat="1"/>
    <row r="101" spans="1:14" s="3" customFormat="1" ht="19.5" thickBot="1">
      <c r="A101" s="4" t="s">
        <v>108</v>
      </c>
      <c r="B101" s="4" t="s">
        <v>69</v>
      </c>
      <c r="D101" s="20" t="s">
        <v>70</v>
      </c>
    </row>
    <row r="102" spans="1:14" s="3" customFormat="1" ht="15">
      <c r="B102" s="5" t="s">
        <v>32</v>
      </c>
      <c r="C102" s="6" t="s">
        <v>33</v>
      </c>
      <c r="D102" s="6" t="s">
        <v>4</v>
      </c>
      <c r="E102" s="6" t="s">
        <v>34</v>
      </c>
      <c r="F102" s="6" t="s">
        <v>35</v>
      </c>
      <c r="G102" s="6" t="s">
        <v>36</v>
      </c>
      <c r="H102" s="6" t="s">
        <v>52</v>
      </c>
      <c r="I102" s="6" t="s">
        <v>72</v>
      </c>
      <c r="J102" s="6" t="s">
        <v>54</v>
      </c>
      <c r="K102" s="7" t="s">
        <v>55</v>
      </c>
      <c r="L102" s="6" t="s">
        <v>56</v>
      </c>
      <c r="M102" s="6" t="s">
        <v>57</v>
      </c>
      <c r="N102" s="8" t="s">
        <v>73</v>
      </c>
    </row>
    <row r="103" spans="1:14" s="3" customFormat="1">
      <c r="B103" s="9" t="s">
        <v>50</v>
      </c>
      <c r="C103" s="10">
        <v>21</v>
      </c>
      <c r="D103" s="10">
        <f>D65</f>
        <v>5</v>
      </c>
      <c r="E103" s="10">
        <f>E3</f>
        <v>0.2</v>
      </c>
      <c r="F103" s="10">
        <v>0.2</v>
      </c>
      <c r="G103" s="10">
        <v>3</v>
      </c>
      <c r="H103" s="10">
        <f>F103*E103*D103*G103</f>
        <v>0.60000000000000009</v>
      </c>
      <c r="I103" s="10">
        <f>H103</f>
        <v>0.60000000000000009</v>
      </c>
      <c r="J103" s="10">
        <f>H103/4*2</f>
        <v>0.30000000000000004</v>
      </c>
      <c r="K103" s="10">
        <f>H103/4*3</f>
        <v>0.45000000000000007</v>
      </c>
      <c r="L103" s="24">
        <f>H103*300/42</f>
        <v>4.2857142857142865</v>
      </c>
      <c r="M103" s="24">
        <f>L103/2</f>
        <v>2.1428571428571432</v>
      </c>
      <c r="N103" s="12">
        <v>0</v>
      </c>
    </row>
    <row r="104" spans="1:14" s="3" customFormat="1">
      <c r="B104" s="9" t="s">
        <v>91</v>
      </c>
      <c r="C104" s="10">
        <v>22</v>
      </c>
      <c r="D104" s="10">
        <f>D66</f>
        <v>6.8</v>
      </c>
      <c r="E104" s="10">
        <v>0.2</v>
      </c>
      <c r="F104" s="10">
        <v>0.2</v>
      </c>
      <c r="G104" s="10">
        <v>2</v>
      </c>
      <c r="H104" s="10">
        <f>F104*E104*D104*G104</f>
        <v>0.54400000000000004</v>
      </c>
      <c r="I104" s="10">
        <f>H104</f>
        <v>0.54400000000000004</v>
      </c>
      <c r="J104" s="10">
        <f>H104/4*2</f>
        <v>0.27200000000000002</v>
      </c>
      <c r="K104" s="10">
        <f>H104/4*3</f>
        <v>0.40800000000000003</v>
      </c>
      <c r="L104" s="24">
        <f>H104*300/42</f>
        <v>3.8857142857142861</v>
      </c>
      <c r="M104" s="24">
        <f>L104/2</f>
        <v>1.9428571428571431</v>
      </c>
      <c r="N104" s="12">
        <v>0</v>
      </c>
    </row>
    <row r="105" spans="1:14" s="3" customFormat="1" ht="15" customHeight="1" thickBot="1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1:14" s="3" customFormat="1" ht="13.5" thickBot="1">
      <c r="G106" s="171" t="s">
        <v>43</v>
      </c>
      <c r="H106" s="172"/>
      <c r="I106" s="6" t="s">
        <v>61</v>
      </c>
      <c r="J106" s="6" t="s">
        <v>62</v>
      </c>
      <c r="K106" s="7" t="s">
        <v>63</v>
      </c>
      <c r="L106" s="6" t="s">
        <v>56</v>
      </c>
      <c r="M106" s="6" t="s">
        <v>57</v>
      </c>
      <c r="N106" s="8" t="s">
        <v>75</v>
      </c>
    </row>
    <row r="107" spans="1:14" s="3" customFormat="1" ht="14.25" thickTop="1" thickBot="1">
      <c r="G107" s="173"/>
      <c r="H107" s="174"/>
      <c r="I107" s="15">
        <f>SUM(I103:I104)</f>
        <v>1.1440000000000001</v>
      </c>
      <c r="J107" s="15">
        <f>SUM(J103:J104)</f>
        <v>0.57200000000000006</v>
      </c>
      <c r="K107" s="15">
        <f>SUM(K103:K104)</f>
        <v>0.8580000000000001</v>
      </c>
      <c r="L107" s="15">
        <f>SUM(L103:L104)</f>
        <v>8.1714285714285726</v>
      </c>
      <c r="M107" s="15">
        <f>SUM(M103:M104)</f>
        <v>4.0857142857142863</v>
      </c>
      <c r="N107" s="15">
        <f>SUM(N105:N106)</f>
        <v>0</v>
      </c>
    </row>
    <row r="108" spans="1:14" s="3" customFormat="1" ht="13.5" thickTop="1">
      <c r="G108" s="173"/>
      <c r="H108" s="174"/>
      <c r="I108" s="10" t="s">
        <v>76</v>
      </c>
      <c r="J108" s="10" t="s">
        <v>64</v>
      </c>
      <c r="K108" s="11" t="s">
        <v>64</v>
      </c>
      <c r="L108" s="10" t="s">
        <v>65</v>
      </c>
      <c r="M108" s="10" t="s">
        <v>66</v>
      </c>
      <c r="N108" s="12" t="s">
        <v>77</v>
      </c>
    </row>
    <row r="109" spans="1:14" s="3" customFormat="1" ht="13.5" thickBot="1">
      <c r="G109" s="175"/>
      <c r="H109" s="176"/>
      <c r="I109" s="22">
        <f>I107*52</f>
        <v>59.488000000000007</v>
      </c>
      <c r="J109" s="141">
        <f>J107*52</f>
        <v>29.744000000000003</v>
      </c>
      <c r="K109" s="22">
        <f>K107*52</f>
        <v>44.616000000000007</v>
      </c>
      <c r="L109" s="22">
        <f>ROUNDUP(L107,0)</f>
        <v>9</v>
      </c>
      <c r="M109" s="22">
        <f>ROUNDUP(M107,0)</f>
        <v>5</v>
      </c>
      <c r="N109" s="23">
        <f>ROUND(N107,0)</f>
        <v>0</v>
      </c>
    </row>
    <row r="110" spans="1:14" s="3" customFormat="1" ht="18.75">
      <c r="G110" s="139"/>
      <c r="H110" s="139"/>
      <c r="I110" s="18"/>
      <c r="J110" s="18"/>
      <c r="K110" s="18"/>
      <c r="L110" s="18"/>
      <c r="M110" s="18"/>
      <c r="N110" s="18"/>
    </row>
    <row r="111" spans="1:14" s="3" customFormat="1" ht="19.5" thickBot="1">
      <c r="A111" s="4" t="s">
        <v>109</v>
      </c>
      <c r="B111" s="4" t="s">
        <v>93</v>
      </c>
      <c r="D111" s="20" t="s">
        <v>70</v>
      </c>
    </row>
    <row r="112" spans="1:14" s="3" customFormat="1" ht="15">
      <c r="B112" s="5" t="s">
        <v>32</v>
      </c>
      <c r="C112" s="6" t="s">
        <v>33</v>
      </c>
      <c r="D112" s="6" t="s">
        <v>4</v>
      </c>
      <c r="E112" s="6" t="s">
        <v>34</v>
      </c>
      <c r="F112" s="6" t="s">
        <v>35</v>
      </c>
      <c r="G112" s="6" t="s">
        <v>36</v>
      </c>
      <c r="H112" s="6" t="s">
        <v>52</v>
      </c>
      <c r="I112" s="6" t="s">
        <v>94</v>
      </c>
      <c r="J112" s="6" t="s">
        <v>54</v>
      </c>
      <c r="K112" s="7" t="s">
        <v>55</v>
      </c>
      <c r="L112" s="6" t="s">
        <v>56</v>
      </c>
      <c r="M112" s="6" t="s">
        <v>57</v>
      </c>
      <c r="N112" s="8" t="s">
        <v>73</v>
      </c>
    </row>
    <row r="113" spans="1:14" s="3" customFormat="1">
      <c r="B113" s="9" t="s">
        <v>50</v>
      </c>
      <c r="C113" s="10">
        <v>14</v>
      </c>
      <c r="D113" s="10">
        <v>5.4</v>
      </c>
      <c r="E113" s="10">
        <v>6.6</v>
      </c>
      <c r="F113" s="10">
        <v>0.15</v>
      </c>
      <c r="G113" s="10">
        <v>1</v>
      </c>
      <c r="H113" s="10">
        <f>F113*E113*D113*G113</f>
        <v>5.3460000000000001</v>
      </c>
      <c r="I113" s="10">
        <f>H113</f>
        <v>5.3460000000000001</v>
      </c>
      <c r="J113" s="10">
        <f>H113/4*2</f>
        <v>2.673</v>
      </c>
      <c r="K113" s="10">
        <f>H113/4*3</f>
        <v>4.0095000000000001</v>
      </c>
      <c r="L113" s="24">
        <f>H113*450/42</f>
        <v>57.278571428571425</v>
      </c>
      <c r="M113" s="24">
        <f>L113/2</f>
        <v>28.639285714285712</v>
      </c>
      <c r="N113" s="12">
        <v>0</v>
      </c>
    </row>
    <row r="114" spans="1:14" s="3" customFormat="1" ht="15" customHeight="1" thickBot="1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1:14" s="3" customFormat="1" ht="13.5" thickBot="1">
      <c r="G115" s="171" t="s">
        <v>43</v>
      </c>
      <c r="H115" s="172"/>
      <c r="I115" s="6" t="s">
        <v>61</v>
      </c>
      <c r="J115" s="6" t="s">
        <v>62</v>
      </c>
      <c r="K115" s="7" t="s">
        <v>63</v>
      </c>
      <c r="L115" s="6" t="s">
        <v>56</v>
      </c>
      <c r="M115" s="6" t="s">
        <v>57</v>
      </c>
      <c r="N115" s="8" t="s">
        <v>75</v>
      </c>
    </row>
    <row r="116" spans="1:14" s="3" customFormat="1" ht="14.25" thickTop="1" thickBot="1">
      <c r="G116" s="173"/>
      <c r="H116" s="174"/>
      <c r="I116" s="15">
        <f>SUM(I113:I113)</f>
        <v>5.3460000000000001</v>
      </c>
      <c r="J116" s="15">
        <f>SUM(J113:J113)</f>
        <v>2.673</v>
      </c>
      <c r="K116" s="15">
        <f>SUM(K113:K113)</f>
        <v>4.0095000000000001</v>
      </c>
      <c r="L116" s="15">
        <f>SUM(L113:L113)</f>
        <v>57.278571428571425</v>
      </c>
      <c r="M116" s="15">
        <f>SUM(M113:M113)</f>
        <v>28.639285714285712</v>
      </c>
      <c r="N116" s="15">
        <f>SUM(N114:N115)</f>
        <v>0</v>
      </c>
    </row>
    <row r="117" spans="1:14" s="3" customFormat="1" ht="13.5" thickTop="1">
      <c r="G117" s="173"/>
      <c r="H117" s="174"/>
      <c r="I117" s="10" t="s">
        <v>76</v>
      </c>
      <c r="J117" s="10" t="s">
        <v>64</v>
      </c>
      <c r="K117" s="11" t="s">
        <v>64</v>
      </c>
      <c r="L117" s="10" t="s">
        <v>65</v>
      </c>
      <c r="M117" s="10" t="s">
        <v>66</v>
      </c>
      <c r="N117" s="12" t="s">
        <v>77</v>
      </c>
    </row>
    <row r="118" spans="1:14" s="3" customFormat="1" ht="13.5" thickBot="1">
      <c r="G118" s="175"/>
      <c r="H118" s="176"/>
      <c r="I118" s="22">
        <f>I116*52</f>
        <v>277.99200000000002</v>
      </c>
      <c r="J118" s="141">
        <f>J116*52</f>
        <v>138.99600000000001</v>
      </c>
      <c r="K118" s="22">
        <f>K116*52</f>
        <v>208.494</v>
      </c>
      <c r="L118" s="22">
        <f>ROUNDUP(L116,0)</f>
        <v>58</v>
      </c>
      <c r="M118" s="22">
        <f>ROUNDUP(M116,0)</f>
        <v>29</v>
      </c>
      <c r="N118" s="23">
        <f>ROUND(N116,0)</f>
        <v>0</v>
      </c>
    </row>
    <row r="119" spans="1:14" s="3" customFormat="1" ht="18.75">
      <c r="G119" s="139"/>
      <c r="H119" s="139"/>
      <c r="I119" s="18"/>
      <c r="J119" s="18"/>
      <c r="K119" s="18"/>
      <c r="L119" s="18"/>
      <c r="M119" s="18"/>
      <c r="N119" s="18"/>
    </row>
    <row r="120" spans="1:14" s="3" customFormat="1" ht="38.25" thickBot="1">
      <c r="A120" s="4" t="s">
        <v>110</v>
      </c>
      <c r="B120" s="66" t="s">
        <v>111</v>
      </c>
      <c r="D120" s="20" t="s">
        <v>112</v>
      </c>
    </row>
    <row r="121" spans="1:14" s="3" customFormat="1" ht="15">
      <c r="B121" s="5" t="s">
        <v>32</v>
      </c>
      <c r="C121" s="6" t="s">
        <v>33</v>
      </c>
      <c r="D121" s="6" t="s">
        <v>4</v>
      </c>
      <c r="E121" s="6" t="s">
        <v>34</v>
      </c>
      <c r="F121" s="6" t="s">
        <v>35</v>
      </c>
      <c r="G121" s="6" t="s">
        <v>36</v>
      </c>
      <c r="H121" s="6" t="s">
        <v>113</v>
      </c>
      <c r="I121" s="6" t="s">
        <v>114</v>
      </c>
      <c r="J121" s="6" t="s">
        <v>54</v>
      </c>
      <c r="K121" s="7" t="s">
        <v>55</v>
      </c>
      <c r="L121" s="6" t="s">
        <v>56</v>
      </c>
      <c r="M121" s="6" t="s">
        <v>57</v>
      </c>
      <c r="N121" s="8" t="s">
        <v>73</v>
      </c>
    </row>
    <row r="122" spans="1:14" s="3" customFormat="1">
      <c r="B122" s="9" t="s">
        <v>50</v>
      </c>
      <c r="C122" s="10">
        <v>37</v>
      </c>
      <c r="D122" s="84">
        <v>5.2</v>
      </c>
      <c r="E122" s="10">
        <v>1</v>
      </c>
      <c r="F122" s="10">
        <v>1.7</v>
      </c>
      <c r="G122" s="84">
        <v>4</v>
      </c>
      <c r="H122" s="10">
        <f>F122*D122*G122</f>
        <v>35.36</v>
      </c>
      <c r="I122" s="21">
        <f>H122*0.03</f>
        <v>1.0608</v>
      </c>
      <c r="J122" s="10">
        <f>I122*1.1</f>
        <v>1.1668800000000001</v>
      </c>
      <c r="K122" s="21">
        <v>0</v>
      </c>
      <c r="L122" s="21">
        <f>I122*450/42</f>
        <v>11.365714285714285</v>
      </c>
      <c r="M122" s="24">
        <f>L122/2</f>
        <v>5.6828571428571424</v>
      </c>
      <c r="N122" s="12">
        <v>0</v>
      </c>
    </row>
    <row r="123" spans="1:14" s="3" customFormat="1">
      <c r="B123" s="9" t="s">
        <v>4</v>
      </c>
      <c r="C123" s="10">
        <v>38</v>
      </c>
      <c r="D123" s="84">
        <v>6</v>
      </c>
      <c r="E123" s="10">
        <v>1</v>
      </c>
      <c r="F123" s="10">
        <v>1.7</v>
      </c>
      <c r="G123" s="84">
        <v>2</v>
      </c>
      <c r="H123" s="10">
        <f>F123*E123*D123*G123</f>
        <v>20.399999999999999</v>
      </c>
      <c r="I123" s="21">
        <f>H123*0.03</f>
        <v>0.61199999999999999</v>
      </c>
      <c r="J123" s="10">
        <f>I123*1.1</f>
        <v>0.67320000000000002</v>
      </c>
      <c r="K123" s="21">
        <v>0</v>
      </c>
      <c r="L123" s="21">
        <f>I123*450/42</f>
        <v>6.5571428571428569</v>
      </c>
      <c r="M123" s="24">
        <f>L123/2</f>
        <v>3.2785714285714285</v>
      </c>
      <c r="N123" s="12">
        <v>0</v>
      </c>
    </row>
    <row r="124" spans="1:14" s="3" customFormat="1" ht="15" customHeight="1" thickBot="1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1:14" s="3" customFormat="1" ht="13.5" thickBot="1">
      <c r="G125" s="171" t="s">
        <v>43</v>
      </c>
      <c r="H125" s="172"/>
      <c r="I125" s="6" t="s">
        <v>103</v>
      </c>
      <c r="J125" s="6" t="s">
        <v>62</v>
      </c>
      <c r="K125" s="7" t="s">
        <v>55</v>
      </c>
      <c r="L125" s="6" t="s">
        <v>56</v>
      </c>
      <c r="M125" s="6" t="s">
        <v>57</v>
      </c>
      <c r="N125" s="8" t="s">
        <v>75</v>
      </c>
    </row>
    <row r="126" spans="1:14" s="3" customFormat="1" ht="14.25" thickTop="1" thickBot="1">
      <c r="G126" s="173"/>
      <c r="H126" s="174"/>
      <c r="I126" s="15">
        <f t="shared" ref="I126:N126" si="3">SUM(I122:I123)</f>
        <v>1.6728000000000001</v>
      </c>
      <c r="J126" s="15">
        <f t="shared" si="3"/>
        <v>1.8400800000000002</v>
      </c>
      <c r="K126" s="15">
        <f t="shared" si="3"/>
        <v>0</v>
      </c>
      <c r="L126" s="15">
        <f t="shared" si="3"/>
        <v>17.92285714285714</v>
      </c>
      <c r="M126" s="15">
        <f t="shared" si="3"/>
        <v>8.96142857142857</v>
      </c>
      <c r="N126" s="15">
        <f t="shared" si="3"/>
        <v>0</v>
      </c>
    </row>
    <row r="127" spans="1:14" s="3" customFormat="1" ht="13.5" thickTop="1">
      <c r="G127" s="173"/>
      <c r="H127" s="174"/>
      <c r="I127" s="10" t="s">
        <v>64</v>
      </c>
      <c r="J127" s="10" t="s">
        <v>64</v>
      </c>
      <c r="K127" s="10" t="s">
        <v>64</v>
      </c>
      <c r="L127" s="10" t="s">
        <v>65</v>
      </c>
      <c r="M127" s="10" t="s">
        <v>66</v>
      </c>
      <c r="N127" s="12" t="s">
        <v>77</v>
      </c>
    </row>
    <row r="128" spans="1:14" s="3" customFormat="1" ht="13.5" thickBot="1">
      <c r="G128" s="175"/>
      <c r="H128" s="176"/>
      <c r="I128" s="22">
        <f>I126*52</f>
        <v>86.985600000000005</v>
      </c>
      <c r="J128" s="22">
        <f>J126*52</f>
        <v>95.684160000000006</v>
      </c>
      <c r="K128" s="22">
        <f>K126*52</f>
        <v>0</v>
      </c>
      <c r="L128" s="22">
        <f>ROUNDUP(L126,0)</f>
        <v>18</v>
      </c>
      <c r="M128" s="22">
        <f>ROUNDUP(M126,0)</f>
        <v>9</v>
      </c>
      <c r="N128" s="23">
        <f>ROUND(N126,0)</f>
        <v>0</v>
      </c>
    </row>
    <row r="129" spans="1:14" s="3" customFormat="1"/>
    <row r="130" spans="1:14" s="3" customFormat="1" ht="38.25" thickBot="1">
      <c r="A130" s="4" t="s">
        <v>115</v>
      </c>
      <c r="B130" s="66" t="s">
        <v>116</v>
      </c>
      <c r="D130" s="20" t="s">
        <v>112</v>
      </c>
    </row>
    <row r="131" spans="1:14" s="3" customFormat="1">
      <c r="B131" s="5" t="s">
        <v>49</v>
      </c>
      <c r="C131" s="6" t="s">
        <v>33</v>
      </c>
      <c r="D131" s="6" t="s">
        <v>4</v>
      </c>
      <c r="E131" s="6" t="s">
        <v>50</v>
      </c>
      <c r="F131" s="6" t="s">
        <v>81</v>
      </c>
      <c r="G131" s="6" t="s">
        <v>36</v>
      </c>
      <c r="H131" s="6" t="s">
        <v>113</v>
      </c>
      <c r="I131" s="6" t="s">
        <v>117</v>
      </c>
      <c r="J131" s="6" t="s">
        <v>54</v>
      </c>
      <c r="K131" s="7" t="s">
        <v>55</v>
      </c>
      <c r="L131" s="6" t="s">
        <v>56</v>
      </c>
      <c r="M131" s="6" t="s">
        <v>57</v>
      </c>
      <c r="N131" s="8" t="s">
        <v>73</v>
      </c>
    </row>
    <row r="132" spans="1:14" s="3" customFormat="1">
      <c r="B132" s="9" t="s">
        <v>50</v>
      </c>
      <c r="C132" s="10">
        <v>40</v>
      </c>
      <c r="D132" s="10">
        <v>5.6</v>
      </c>
      <c r="E132" s="10">
        <v>1</v>
      </c>
      <c r="F132" s="10">
        <v>2.1</v>
      </c>
      <c r="G132" s="84">
        <v>2</v>
      </c>
      <c r="H132" s="10">
        <f>F132*E132*D132*G132</f>
        <v>23.52</v>
      </c>
      <c r="I132" s="21">
        <f>H132*0.03</f>
        <v>0.7056</v>
      </c>
      <c r="J132" s="10">
        <f>I132*1.1</f>
        <v>0.77616000000000007</v>
      </c>
      <c r="K132" s="21">
        <v>0</v>
      </c>
      <c r="L132" s="21">
        <f>I132*450/42</f>
        <v>7.56</v>
      </c>
      <c r="M132" s="24">
        <f>L132/2</f>
        <v>3.78</v>
      </c>
      <c r="N132" s="12">
        <v>0</v>
      </c>
    </row>
    <row r="133" spans="1:14" s="3" customFormat="1">
      <c r="B133" s="9" t="s">
        <v>4</v>
      </c>
      <c r="C133" s="10">
        <v>41</v>
      </c>
      <c r="D133" s="10">
        <v>6.6</v>
      </c>
      <c r="E133" s="10">
        <v>1</v>
      </c>
      <c r="F133" s="10">
        <v>2.1</v>
      </c>
      <c r="G133" s="84">
        <v>2</v>
      </c>
      <c r="H133" s="10">
        <f>F133*E133*D133*G133</f>
        <v>27.72</v>
      </c>
      <c r="I133" s="21">
        <f>H133*0.03</f>
        <v>0.83159999999999989</v>
      </c>
      <c r="J133" s="10">
        <f>I133*1.1</f>
        <v>0.91475999999999991</v>
      </c>
      <c r="K133" s="21">
        <v>0</v>
      </c>
      <c r="L133" s="21">
        <f>I133*450/42</f>
        <v>8.91</v>
      </c>
      <c r="M133" s="24">
        <f>L133/2</f>
        <v>4.4550000000000001</v>
      </c>
      <c r="N133" s="12">
        <v>0</v>
      </c>
    </row>
    <row r="134" spans="1:14" s="3" customFormat="1" ht="13.5" thickBot="1">
      <c r="B134" s="13"/>
      <c r="C134" s="101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1:14" s="3" customFormat="1" ht="13.5" thickBot="1">
      <c r="G135" s="171" t="s">
        <v>43</v>
      </c>
      <c r="H135" s="172"/>
      <c r="I135" s="6" t="s">
        <v>103</v>
      </c>
      <c r="J135" s="6" t="s">
        <v>62</v>
      </c>
      <c r="K135" s="7" t="s">
        <v>55</v>
      </c>
      <c r="L135" s="6" t="s">
        <v>56</v>
      </c>
      <c r="M135" s="6" t="s">
        <v>57</v>
      </c>
      <c r="N135" s="8" t="s">
        <v>75</v>
      </c>
    </row>
    <row r="136" spans="1:14" s="3" customFormat="1" ht="14.25" thickTop="1" thickBot="1">
      <c r="G136" s="173"/>
      <c r="H136" s="174"/>
      <c r="I136" s="15">
        <f t="shared" ref="I136:N136" si="4">SUM(I131:I133)</f>
        <v>1.5371999999999999</v>
      </c>
      <c r="J136" s="15">
        <f t="shared" si="4"/>
        <v>1.69092</v>
      </c>
      <c r="K136" s="15">
        <f t="shared" si="4"/>
        <v>0</v>
      </c>
      <c r="L136" s="15">
        <f t="shared" si="4"/>
        <v>16.47</v>
      </c>
      <c r="M136" s="15">
        <f t="shared" si="4"/>
        <v>8.2349999999999994</v>
      </c>
      <c r="N136" s="15">
        <f t="shared" si="4"/>
        <v>0</v>
      </c>
    </row>
    <row r="137" spans="1:14" s="3" customFormat="1" ht="13.5" thickTop="1">
      <c r="G137" s="173"/>
      <c r="H137" s="174"/>
      <c r="I137" s="10" t="s">
        <v>76</v>
      </c>
      <c r="J137" s="10" t="s">
        <v>64</v>
      </c>
      <c r="K137" s="11" t="s">
        <v>64</v>
      </c>
      <c r="L137" s="10" t="s">
        <v>65</v>
      </c>
      <c r="M137" s="10" t="s">
        <v>66</v>
      </c>
      <c r="N137" s="12" t="s">
        <v>77</v>
      </c>
    </row>
    <row r="138" spans="1:14" s="3" customFormat="1" ht="13.5" thickBot="1">
      <c r="G138" s="175"/>
      <c r="H138" s="176"/>
      <c r="I138" s="22">
        <f>I136*52</f>
        <v>79.934399999999997</v>
      </c>
      <c r="J138" s="22">
        <f>J136*52</f>
        <v>87.927840000000003</v>
      </c>
      <c r="K138" s="22">
        <f>K136*52</f>
        <v>0</v>
      </c>
      <c r="L138" s="22">
        <f>ROUNDUP(L136,0)</f>
        <v>17</v>
      </c>
      <c r="M138" s="22">
        <f>ROUNDUP(M136,0)</f>
        <v>9</v>
      </c>
      <c r="N138" s="23">
        <f>ROUND(N136,0)</f>
        <v>0</v>
      </c>
    </row>
    <row r="139" spans="1:14" s="3" customFormat="1"/>
    <row r="140" spans="1:14" s="3" customFormat="1" ht="19.5" thickBot="1">
      <c r="A140" s="4" t="s">
        <v>118</v>
      </c>
      <c r="B140" s="4" t="s">
        <v>93</v>
      </c>
      <c r="D140" s="20" t="s">
        <v>70</v>
      </c>
    </row>
    <row r="141" spans="1:14" s="3" customFormat="1" ht="15">
      <c r="B141" s="5" t="s">
        <v>32</v>
      </c>
      <c r="C141" s="6" t="s">
        <v>33</v>
      </c>
      <c r="D141" s="6" t="s">
        <v>4</v>
      </c>
      <c r="E141" s="6" t="s">
        <v>34</v>
      </c>
      <c r="F141" s="6" t="s">
        <v>35</v>
      </c>
      <c r="G141" s="6" t="s">
        <v>36</v>
      </c>
      <c r="H141" s="6" t="s">
        <v>52</v>
      </c>
      <c r="I141" s="6" t="s">
        <v>94</v>
      </c>
      <c r="J141" s="6" t="s">
        <v>54</v>
      </c>
      <c r="K141" s="7" t="s">
        <v>55</v>
      </c>
      <c r="L141" s="6" t="s">
        <v>56</v>
      </c>
      <c r="M141" s="6" t="s">
        <v>57</v>
      </c>
      <c r="N141" s="8" t="s">
        <v>73</v>
      </c>
    </row>
    <row r="142" spans="1:14" s="3" customFormat="1">
      <c r="B142" s="9" t="s">
        <v>50</v>
      </c>
      <c r="C142" s="10">
        <v>14</v>
      </c>
      <c r="D142" s="10">
        <v>2</v>
      </c>
      <c r="E142" s="10">
        <v>1.5</v>
      </c>
      <c r="F142" s="10">
        <v>0.2</v>
      </c>
      <c r="G142" s="10">
        <v>1</v>
      </c>
      <c r="H142" s="10">
        <f>F142*E142*D142*G142</f>
        <v>0.60000000000000009</v>
      </c>
      <c r="I142" s="10">
        <f>H142</f>
        <v>0.60000000000000009</v>
      </c>
      <c r="J142" s="10">
        <f>H142/4*2</f>
        <v>0.30000000000000004</v>
      </c>
      <c r="K142" s="10">
        <f>H142/4*3</f>
        <v>0.45000000000000007</v>
      </c>
      <c r="L142" s="24">
        <f>H142*450/42</f>
        <v>6.4285714285714297</v>
      </c>
      <c r="M142" s="24">
        <f>L142/2</f>
        <v>3.2142857142857149</v>
      </c>
      <c r="N142" s="12">
        <v>0</v>
      </c>
    </row>
    <row r="143" spans="1:14" s="3" customFormat="1" ht="15" customHeight="1" thickBot="1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1:14" s="3" customFormat="1" ht="13.5" thickBot="1">
      <c r="G144" s="171" t="s">
        <v>43</v>
      </c>
      <c r="H144" s="172"/>
      <c r="I144" s="6" t="s">
        <v>61</v>
      </c>
      <c r="J144" s="6" t="s">
        <v>62</v>
      </c>
      <c r="K144" s="7" t="s">
        <v>63</v>
      </c>
      <c r="L144" s="6" t="s">
        <v>56</v>
      </c>
      <c r="M144" s="6" t="s">
        <v>57</v>
      </c>
      <c r="N144" s="8" t="s">
        <v>75</v>
      </c>
    </row>
    <row r="145" spans="1:15" s="3" customFormat="1" ht="14.25" thickTop="1" thickBot="1">
      <c r="G145" s="173"/>
      <c r="H145" s="174"/>
      <c r="I145" s="15">
        <f>SUM(I142:I142)</f>
        <v>0.60000000000000009</v>
      </c>
      <c r="J145" s="15">
        <f>SUM(J142:J142)</f>
        <v>0.30000000000000004</v>
      </c>
      <c r="K145" s="15">
        <f>SUM(K142:K142)</f>
        <v>0.45000000000000007</v>
      </c>
      <c r="L145" s="15">
        <f>SUM(L142:L142)</f>
        <v>6.4285714285714297</v>
      </c>
      <c r="M145" s="15">
        <f>SUM(M142:M142)</f>
        <v>3.2142857142857149</v>
      </c>
      <c r="N145" s="15">
        <f>SUM(N143:N144)</f>
        <v>0</v>
      </c>
    </row>
    <row r="146" spans="1:15" s="3" customFormat="1" ht="13.5" thickTop="1">
      <c r="G146" s="173"/>
      <c r="H146" s="174"/>
      <c r="I146" s="10" t="s">
        <v>76</v>
      </c>
      <c r="J146" s="10" t="s">
        <v>64</v>
      </c>
      <c r="K146" s="11" t="s">
        <v>64</v>
      </c>
      <c r="L146" s="10" t="s">
        <v>65</v>
      </c>
      <c r="M146" s="10" t="s">
        <v>66</v>
      </c>
      <c r="N146" s="12" t="s">
        <v>77</v>
      </c>
    </row>
    <row r="147" spans="1:15" s="3" customFormat="1" ht="13.5" thickBot="1">
      <c r="G147" s="175"/>
      <c r="H147" s="176"/>
      <c r="I147" s="22">
        <f>I145*52</f>
        <v>31.200000000000003</v>
      </c>
      <c r="J147" s="141">
        <f>J145*52</f>
        <v>15.600000000000001</v>
      </c>
      <c r="K147" s="22">
        <f>K145*52</f>
        <v>23.400000000000002</v>
      </c>
      <c r="L147" s="22">
        <f>ROUNDUP(L145,0)</f>
        <v>7</v>
      </c>
      <c r="M147" s="22">
        <f>ROUNDUP(M145,0)</f>
        <v>4</v>
      </c>
      <c r="N147" s="23">
        <f>ROUND(N145,0)</f>
        <v>0</v>
      </c>
    </row>
    <row r="148" spans="1:15" s="3" customFormat="1" ht="19.5" thickBot="1">
      <c r="A148" s="4" t="s">
        <v>119</v>
      </c>
      <c r="B148" s="4" t="s">
        <v>69</v>
      </c>
      <c r="D148" s="20" t="s">
        <v>70</v>
      </c>
    </row>
    <row r="149" spans="1:15" s="3" customFormat="1">
      <c r="B149" s="5" t="s">
        <v>49</v>
      </c>
      <c r="C149" s="6" t="s">
        <v>33</v>
      </c>
      <c r="D149" s="6" t="s">
        <v>4</v>
      </c>
      <c r="E149" s="6" t="s">
        <v>50</v>
      </c>
      <c r="F149" s="6" t="s">
        <v>81</v>
      </c>
      <c r="G149" s="6" t="s">
        <v>36</v>
      </c>
      <c r="H149" s="6" t="s">
        <v>52</v>
      </c>
      <c r="I149" s="6" t="s">
        <v>72</v>
      </c>
      <c r="J149" s="6" t="s">
        <v>54</v>
      </c>
      <c r="K149" s="7" t="s">
        <v>55</v>
      </c>
      <c r="L149" s="6" t="s">
        <v>56</v>
      </c>
      <c r="M149" s="6" t="s">
        <v>57</v>
      </c>
      <c r="N149" s="8" t="s">
        <v>73</v>
      </c>
    </row>
    <row r="150" spans="1:15" s="3" customFormat="1">
      <c r="B150" s="9" t="s">
        <v>120</v>
      </c>
      <c r="C150" s="10">
        <v>19</v>
      </c>
      <c r="D150" s="10">
        <v>70</v>
      </c>
      <c r="E150" s="10">
        <v>0.15</v>
      </c>
      <c r="F150" s="10">
        <v>0.1</v>
      </c>
      <c r="G150" s="10">
        <v>1</v>
      </c>
      <c r="H150" s="10">
        <f>F150*E150*D150*G150</f>
        <v>1.05</v>
      </c>
      <c r="I150" s="10">
        <f>H150</f>
        <v>1.05</v>
      </c>
      <c r="J150" s="10">
        <f>H150/4*2</f>
        <v>0.52500000000000002</v>
      </c>
      <c r="K150" s="10">
        <f>H150/4*3</f>
        <v>0.78750000000000009</v>
      </c>
      <c r="L150" s="24">
        <f>H150*300/42</f>
        <v>7.5</v>
      </c>
      <c r="M150" s="24">
        <f>L150/2</f>
        <v>3.75</v>
      </c>
      <c r="N150" s="12">
        <v>0</v>
      </c>
    </row>
    <row r="151" spans="1:15" s="3" customFormat="1" ht="13.5" thickBot="1">
      <c r="B151" s="13"/>
      <c r="C151" s="101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5" s="3" customFormat="1" ht="13.5" thickBot="1">
      <c r="G152" s="171" t="s">
        <v>43</v>
      </c>
      <c r="H152" s="172"/>
      <c r="I152" s="6" t="s">
        <v>61</v>
      </c>
      <c r="J152" s="6" t="s">
        <v>62</v>
      </c>
      <c r="K152" s="7" t="s">
        <v>63</v>
      </c>
      <c r="L152" s="6" t="s">
        <v>56</v>
      </c>
      <c r="M152" s="6" t="s">
        <v>57</v>
      </c>
      <c r="N152" s="8" t="s">
        <v>75</v>
      </c>
    </row>
    <row r="153" spans="1:15" s="3" customFormat="1" ht="14.25" thickTop="1" thickBot="1">
      <c r="G153" s="173"/>
      <c r="H153" s="174"/>
      <c r="I153" s="15">
        <f>SUM(I149:I150)</f>
        <v>1.05</v>
      </c>
      <c r="J153" s="15">
        <f>SUM(J149:J150)</f>
        <v>0.52500000000000002</v>
      </c>
      <c r="K153" s="15">
        <f>SUM(K149:K150)</f>
        <v>0.78750000000000009</v>
      </c>
      <c r="L153" s="15">
        <f>SUM(L149:L150)</f>
        <v>7.5</v>
      </c>
      <c r="M153" s="15">
        <f>SUM(M149:M150)</f>
        <v>3.75</v>
      </c>
      <c r="N153" s="15">
        <f>SUM(N151:N152)</f>
        <v>0</v>
      </c>
    </row>
    <row r="154" spans="1:15" s="3" customFormat="1" ht="13.5" thickTop="1">
      <c r="G154" s="173"/>
      <c r="H154" s="174"/>
      <c r="I154" s="10" t="s">
        <v>76</v>
      </c>
      <c r="J154" s="10" t="s">
        <v>64</v>
      </c>
      <c r="K154" s="11" t="s">
        <v>64</v>
      </c>
      <c r="L154" s="10" t="s">
        <v>65</v>
      </c>
      <c r="M154" s="10" t="s">
        <v>66</v>
      </c>
      <c r="N154" s="12" t="s">
        <v>77</v>
      </c>
    </row>
    <row r="155" spans="1:15" s="3" customFormat="1" ht="13.5" thickBot="1">
      <c r="G155" s="175"/>
      <c r="H155" s="176"/>
      <c r="I155" s="22">
        <f>I153*52</f>
        <v>54.6</v>
      </c>
      <c r="J155" s="141">
        <f>J153*52</f>
        <v>27.3</v>
      </c>
      <c r="K155" s="22">
        <f>K153*52</f>
        <v>40.950000000000003</v>
      </c>
      <c r="L155" s="22">
        <f>ROUNDUP(L153,0)</f>
        <v>8</v>
      </c>
      <c r="M155" s="22">
        <f>ROUNDUP(M153,0)</f>
        <v>4</v>
      </c>
      <c r="N155" s="23">
        <f>ROUND(N153,0)</f>
        <v>0</v>
      </c>
    </row>
    <row r="156" spans="1:15" s="3" customFormat="1" ht="19.5" thickBot="1">
      <c r="G156" s="139"/>
      <c r="H156" s="139"/>
      <c r="I156" s="18"/>
      <c r="J156" s="18"/>
      <c r="K156" s="18"/>
      <c r="L156" s="18"/>
      <c r="M156" s="18"/>
    </row>
    <row r="157" spans="1:15">
      <c r="G157" s="177" t="s">
        <v>121</v>
      </c>
      <c r="H157" s="178"/>
      <c r="I157" s="102"/>
      <c r="J157" s="102" t="s">
        <v>62</v>
      </c>
      <c r="K157" s="103" t="s">
        <v>63</v>
      </c>
      <c r="L157" s="102" t="s">
        <v>56</v>
      </c>
      <c r="M157" s="102" t="s">
        <v>57</v>
      </c>
      <c r="N157" s="104" t="s">
        <v>73</v>
      </c>
      <c r="O157" s="104" t="s">
        <v>100</v>
      </c>
    </row>
    <row r="158" spans="1:15">
      <c r="G158" s="179"/>
      <c r="H158" s="180"/>
      <c r="I158" s="106"/>
      <c r="J158" s="105">
        <f>J107+J97+J87+J69+J58+J48+J36+J27+J136+J126+J116+J78</f>
        <v>14.9054</v>
      </c>
      <c r="K158" s="105">
        <f>K107+K97+K87+K69+K58+K48+K36+K27+K126+K116+K78</f>
        <v>10.702499999999999</v>
      </c>
      <c r="L158" s="105">
        <f>L107+L97+L87+L69+L58+L48+L36+L27+L136+L126+L116+L78</f>
        <v>191.42380952380952</v>
      </c>
      <c r="M158" s="106">
        <f>M136+M126+M107+M97+M87+M69+M58+M48+M36+M27+M116+M78</f>
        <v>92.564391534391532</v>
      </c>
      <c r="N158" s="106">
        <v>3</v>
      </c>
      <c r="O158" s="106">
        <f>O89</f>
        <v>450</v>
      </c>
    </row>
    <row r="159" spans="1:15">
      <c r="G159" s="179"/>
      <c r="H159" s="180"/>
      <c r="I159" s="107"/>
      <c r="J159" s="107" t="s">
        <v>64</v>
      </c>
      <c r="K159" s="108" t="s">
        <v>64</v>
      </c>
      <c r="L159" s="107" t="s">
        <v>65</v>
      </c>
      <c r="M159" s="107" t="s">
        <v>64</v>
      </c>
      <c r="N159" s="109" t="s">
        <v>67</v>
      </c>
      <c r="O159" s="109" t="s">
        <v>122</v>
      </c>
    </row>
    <row r="160" spans="1:15" ht="13.5" thickBot="1">
      <c r="G160" s="181"/>
      <c r="H160" s="182"/>
      <c r="I160" s="22"/>
      <c r="J160" s="106">
        <f>J158*52</f>
        <v>775.08079999999995</v>
      </c>
      <c r="K160" s="106">
        <f>K158*52</f>
        <v>556.53</v>
      </c>
      <c r="L160" s="106">
        <v>180</v>
      </c>
      <c r="M160" s="106">
        <f>M158*12</f>
        <v>1110.7726984126984</v>
      </c>
      <c r="N160" s="106">
        <v>3</v>
      </c>
      <c r="O160" s="106">
        <v>450</v>
      </c>
    </row>
    <row r="162" spans="7:8" s="3" customFormat="1" ht="18.75">
      <c r="G162" s="139"/>
      <c r="H162" s="139"/>
    </row>
    <row r="163" spans="7:8" s="3" customFormat="1"/>
  </sheetData>
  <mergeCells count="15">
    <mergeCell ref="G26:H29"/>
    <mergeCell ref="G35:H38"/>
    <mergeCell ref="G57:H60"/>
    <mergeCell ref="G68:H71"/>
    <mergeCell ref="G96:H99"/>
    <mergeCell ref="G77:H80"/>
    <mergeCell ref="G125:H128"/>
    <mergeCell ref="G86:H89"/>
    <mergeCell ref="G106:H109"/>
    <mergeCell ref="G47:H50"/>
    <mergeCell ref="G157:H160"/>
    <mergeCell ref="G135:H138"/>
    <mergeCell ref="G115:H118"/>
    <mergeCell ref="G144:H147"/>
    <mergeCell ref="G152:H155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276"/>
  <sheetViews>
    <sheetView tabSelected="1" zoomScale="90" zoomScaleNormal="90" zoomScaleSheetLayoutView="70" workbookViewId="0">
      <selection activeCell="D1" sqref="D1"/>
    </sheetView>
  </sheetViews>
  <sheetFormatPr defaultColWidth="11.42578125" defaultRowHeight="12.75"/>
  <cols>
    <col min="1" max="1" width="11.42578125" style="31"/>
    <col min="2" max="2" width="37" style="31" customWidth="1"/>
    <col min="3" max="3" width="37.5703125" style="36" bestFit="1" customWidth="1"/>
    <col min="4" max="4" width="24.28515625" style="31" bestFit="1" customWidth="1"/>
    <col min="5" max="5" width="23.7109375" style="31" bestFit="1" customWidth="1"/>
    <col min="6" max="6" width="13.28515625" style="31" bestFit="1" customWidth="1"/>
    <col min="7" max="7" width="15.5703125" style="32" bestFit="1" customWidth="1"/>
    <col min="8" max="8" width="28.7109375" style="33" bestFit="1" customWidth="1"/>
    <col min="9" max="9" width="17.85546875" style="34" bestFit="1" customWidth="1"/>
    <col min="10" max="10" width="25.85546875" style="34" bestFit="1" customWidth="1"/>
    <col min="11" max="11" width="13.7109375" style="31" bestFit="1" customWidth="1"/>
    <col min="12" max="12" width="12.42578125" style="31" bestFit="1" customWidth="1"/>
    <col min="13" max="13" width="18.7109375" style="35" bestFit="1" customWidth="1"/>
    <col min="14" max="15" width="25.85546875" style="35" bestFit="1" customWidth="1"/>
    <col min="16" max="16" width="18.85546875" style="35" bestFit="1" customWidth="1"/>
    <col min="17" max="18" width="24" style="31" bestFit="1" customWidth="1"/>
    <col min="19" max="19" width="13.5703125" style="31" bestFit="1" customWidth="1"/>
    <col min="20" max="20" width="16.85546875" style="31" bestFit="1" customWidth="1"/>
    <col min="21" max="21" width="12.42578125" style="31" bestFit="1" customWidth="1"/>
    <col min="22" max="22" width="10.140625" style="31" customWidth="1"/>
    <col min="23" max="23" width="15.28515625" style="31" customWidth="1"/>
    <col min="24" max="24" width="12.42578125" style="31" bestFit="1" customWidth="1"/>
    <col min="25" max="25" width="25.28515625" style="31" customWidth="1"/>
    <col min="26" max="26" width="11.42578125" style="31"/>
    <col min="27" max="27" width="12.42578125" style="63" bestFit="1" customWidth="1"/>
    <col min="28" max="16384" width="11.42578125" style="31"/>
  </cols>
  <sheetData>
    <row r="1" spans="1:28" ht="46.5">
      <c r="B1" s="167" t="s">
        <v>123</v>
      </c>
      <c r="C1" s="94"/>
      <c r="D1" s="94"/>
      <c r="E1" s="94"/>
      <c r="F1" s="94"/>
      <c r="G1" s="94"/>
      <c r="H1" s="94"/>
      <c r="I1" s="88"/>
      <c r="J1" s="94"/>
      <c r="K1" s="94"/>
      <c r="L1" s="94"/>
    </row>
    <row r="2" spans="1:28" ht="23.25">
      <c r="B2" s="94"/>
      <c r="C2" s="94"/>
      <c r="D2" s="94"/>
      <c r="E2" s="94"/>
      <c r="F2" s="94"/>
      <c r="G2" s="94"/>
      <c r="H2" s="94"/>
      <c r="I2" s="88"/>
      <c r="J2" s="94"/>
      <c r="K2" s="94"/>
      <c r="L2" s="94"/>
    </row>
    <row r="3" spans="1:28" ht="24" customHeight="1">
      <c r="B3" s="85" t="s">
        <v>124</v>
      </c>
      <c r="C3" s="85"/>
      <c r="D3" s="85"/>
      <c r="E3" s="85"/>
      <c r="F3" s="85"/>
      <c r="G3" s="31"/>
      <c r="H3" s="31"/>
      <c r="I3" s="31"/>
      <c r="J3" s="31"/>
    </row>
    <row r="4" spans="1:28" ht="18" customHeight="1">
      <c r="B4" s="38"/>
      <c r="C4" s="38"/>
      <c r="D4" s="38" t="s">
        <v>125</v>
      </c>
      <c r="E4" s="38" t="s">
        <v>126</v>
      </c>
      <c r="F4" s="38" t="s">
        <v>127</v>
      </c>
      <c r="G4" s="38" t="s">
        <v>128</v>
      </c>
      <c r="H4" s="39" t="s">
        <v>129</v>
      </c>
      <c r="I4" s="73"/>
      <c r="J4" s="73"/>
      <c r="K4" s="73"/>
      <c r="L4" s="73"/>
      <c r="M4" s="37"/>
      <c r="N4" s="37"/>
      <c r="O4" s="37"/>
      <c r="P4" s="37"/>
      <c r="Q4" s="37"/>
      <c r="R4" s="37"/>
      <c r="S4" s="37"/>
      <c r="T4" s="37"/>
      <c r="U4" s="37"/>
      <c r="V4" s="37"/>
      <c r="W4" s="64"/>
      <c r="X4" s="37"/>
      <c r="AA4" s="31"/>
    </row>
    <row r="5" spans="1:28" ht="18" customHeight="1">
      <c r="A5" s="188" t="s">
        <v>130</v>
      </c>
      <c r="B5" s="75"/>
      <c r="C5" s="40"/>
      <c r="D5" s="48"/>
      <c r="E5" s="48"/>
      <c r="F5" s="48"/>
      <c r="G5" s="48"/>
      <c r="H5" s="48"/>
      <c r="I5" s="73"/>
      <c r="J5" s="152"/>
      <c r="K5" s="146"/>
      <c r="L5" s="146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64"/>
      <c r="AB5" s="37"/>
    </row>
    <row r="6" spans="1:28" ht="18" customHeight="1">
      <c r="A6" s="188"/>
      <c r="B6" s="89" t="s">
        <v>131</v>
      </c>
      <c r="C6" s="41"/>
      <c r="D6" s="47" t="s">
        <v>132</v>
      </c>
      <c r="E6" s="47" t="s">
        <v>133</v>
      </c>
      <c r="F6" s="163">
        <f>materiaux!H13</f>
        <v>19.200000000000003</v>
      </c>
      <c r="G6" s="48">
        <v>0</v>
      </c>
      <c r="H6" s="49">
        <f>G6*F6</f>
        <v>0</v>
      </c>
      <c r="I6" s="151"/>
      <c r="J6" s="152"/>
      <c r="K6" s="146"/>
      <c r="L6" s="146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64"/>
      <c r="AB6" s="37"/>
    </row>
    <row r="7" spans="1:28" ht="18" customHeight="1">
      <c r="A7" s="188"/>
      <c r="B7" s="75" t="str">
        <f>materiaux!A11</f>
        <v>Fouille fondations</v>
      </c>
      <c r="C7" s="91"/>
      <c r="D7" s="47" t="s">
        <v>134</v>
      </c>
      <c r="E7" s="47" t="s">
        <v>133</v>
      </c>
      <c r="F7" s="163">
        <f>materiaux!H20-materiaux!H13</f>
        <v>7.8239999999999981</v>
      </c>
      <c r="G7" s="48">
        <v>0</v>
      </c>
      <c r="H7" s="49">
        <f>G7*F7</f>
        <v>0</v>
      </c>
      <c r="I7" s="151"/>
      <c r="J7" s="152"/>
      <c r="K7" s="146"/>
      <c r="L7" s="146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64"/>
      <c r="AB7" s="37"/>
    </row>
    <row r="8" spans="1:28" ht="18">
      <c r="A8" s="188"/>
      <c r="B8" s="75" t="s">
        <v>135</v>
      </c>
      <c r="C8" s="170"/>
      <c r="D8" s="47" t="s">
        <v>136</v>
      </c>
      <c r="E8" s="47" t="s">
        <v>133</v>
      </c>
      <c r="F8" s="163">
        <v>12</v>
      </c>
      <c r="G8" s="48">
        <v>0</v>
      </c>
      <c r="H8" s="49">
        <f>G8*F8</f>
        <v>0</v>
      </c>
      <c r="I8" s="151"/>
      <c r="J8" s="152"/>
      <c r="K8" s="146"/>
      <c r="L8" s="146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64"/>
      <c r="AB8" s="37"/>
    </row>
    <row r="9" spans="1:28" ht="18.75" customHeight="1">
      <c r="A9" s="188"/>
      <c r="B9" s="44"/>
      <c r="C9" s="76" t="s">
        <v>137</v>
      </c>
      <c r="D9" s="44"/>
      <c r="E9" s="44"/>
      <c r="F9" s="57"/>
      <c r="G9" s="46"/>
      <c r="H9" s="61">
        <f>SUM(H6:H8)</f>
        <v>0</v>
      </c>
      <c r="I9" s="73"/>
      <c r="J9" s="87"/>
      <c r="K9" s="81"/>
      <c r="L9" s="81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64"/>
      <c r="AB9" s="37"/>
    </row>
    <row r="10" spans="1:28" ht="12.75" customHeight="1">
      <c r="A10" s="188"/>
      <c r="B10" s="82"/>
      <c r="C10" s="82"/>
      <c r="D10" s="82"/>
      <c r="E10" s="82"/>
      <c r="F10" s="82"/>
      <c r="G10" s="82"/>
      <c r="H10" s="82"/>
      <c r="I10" s="73"/>
      <c r="J10" s="149"/>
      <c r="K10" s="149"/>
      <c r="L10" s="149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64"/>
      <c r="AB10" s="37"/>
    </row>
    <row r="11" spans="1:28" ht="15" customHeight="1">
      <c r="B11" s="45"/>
      <c r="C11" s="40"/>
      <c r="D11" s="40"/>
      <c r="E11" s="40"/>
      <c r="F11" s="60"/>
      <c r="G11" s="43"/>
      <c r="H11" s="42"/>
      <c r="I11" s="73"/>
      <c r="J11" s="152"/>
      <c r="K11" s="146"/>
      <c r="L11" s="146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64"/>
      <c r="AB11" s="37"/>
    </row>
    <row r="12" spans="1:28" ht="12.75" customHeight="1">
      <c r="A12" s="189" t="s">
        <v>138</v>
      </c>
      <c r="B12" s="117"/>
      <c r="C12" s="87"/>
      <c r="D12" s="47"/>
      <c r="E12" s="47"/>
      <c r="F12" s="58"/>
      <c r="G12" s="48"/>
      <c r="H12" s="49"/>
      <c r="I12" s="73"/>
      <c r="J12" s="152"/>
      <c r="K12" s="146"/>
      <c r="L12" s="146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64"/>
      <c r="AB12" s="37"/>
    </row>
    <row r="13" spans="1:28" ht="14.25" customHeight="1">
      <c r="A13" s="190"/>
      <c r="B13" s="117" t="str">
        <f>materiaux!A21</f>
        <v>Béton de propreté</v>
      </c>
      <c r="C13" s="87" t="str">
        <f>materiaux!B21</f>
        <v>Béton dosé 100 kg/m3</v>
      </c>
      <c r="D13" s="47" t="str">
        <f>materiaux!J22</f>
        <v>sable</v>
      </c>
      <c r="E13" s="47" t="s">
        <v>64</v>
      </c>
      <c r="F13" s="157">
        <f>materiaux!J29</f>
        <v>19.032</v>
      </c>
      <c r="G13" s="48">
        <v>0</v>
      </c>
      <c r="H13" s="49">
        <f>G13*F13</f>
        <v>0</v>
      </c>
      <c r="I13" s="151"/>
      <c r="J13" s="152"/>
      <c r="K13" s="146"/>
      <c r="L13" s="146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64"/>
      <c r="AB13" s="37"/>
    </row>
    <row r="14" spans="1:28" ht="12.75" customHeight="1">
      <c r="A14" s="190"/>
      <c r="B14" s="117"/>
      <c r="C14" s="87"/>
      <c r="D14" s="47" t="str">
        <f>materiaux!K22</f>
        <v>gravier</v>
      </c>
      <c r="E14" s="47" t="s">
        <v>64</v>
      </c>
      <c r="F14" s="157">
        <f>materiaux!K29</f>
        <v>28.547999999999995</v>
      </c>
      <c r="G14" s="48">
        <v>0</v>
      </c>
      <c r="H14" s="49">
        <f>G14*F14</f>
        <v>0</v>
      </c>
      <c r="I14" s="151"/>
      <c r="J14" s="152"/>
      <c r="K14" s="146"/>
      <c r="L14" s="146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64"/>
      <c r="AB14" s="37"/>
    </row>
    <row r="15" spans="1:28" ht="12.75" customHeight="1">
      <c r="A15" s="190"/>
      <c r="B15" s="117"/>
      <c r="C15" s="31"/>
      <c r="D15" s="47" t="str">
        <f>materiaux!L22</f>
        <v>ciment</v>
      </c>
      <c r="E15" s="47" t="s">
        <v>65</v>
      </c>
      <c r="F15" s="157">
        <f>materiaux!L29</f>
        <v>2</v>
      </c>
      <c r="G15" s="48">
        <v>0</v>
      </c>
      <c r="H15" s="49">
        <f>G15*F15</f>
        <v>0</v>
      </c>
      <c r="I15" s="151"/>
      <c r="J15" s="152"/>
      <c r="K15" s="146"/>
      <c r="L15" s="146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64"/>
      <c r="AB15" s="37"/>
    </row>
    <row r="16" spans="1:28" ht="14.25" customHeight="1">
      <c r="A16" s="190"/>
      <c r="B16" s="117"/>
      <c r="C16" s="87"/>
      <c r="D16" s="47" t="str">
        <f>materiaux!M22</f>
        <v>Eau</v>
      </c>
      <c r="E16" s="47" t="s">
        <v>139</v>
      </c>
      <c r="F16" s="157">
        <f>materiaux!M29</f>
        <v>1</v>
      </c>
      <c r="G16" s="48">
        <v>0</v>
      </c>
      <c r="H16" s="49">
        <f>G16*F16</f>
        <v>0</v>
      </c>
      <c r="I16" s="151"/>
      <c r="J16" s="152"/>
      <c r="K16" s="146"/>
      <c r="L16" s="146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64"/>
      <c r="AB16" s="37"/>
    </row>
    <row r="17" spans="1:28" ht="14.25" customHeight="1">
      <c r="A17" s="190"/>
      <c r="B17" s="117" t="s">
        <v>140</v>
      </c>
      <c r="C17" s="87"/>
      <c r="D17" s="47" t="s">
        <v>141</v>
      </c>
      <c r="E17" s="47" t="s">
        <v>142</v>
      </c>
      <c r="F17" s="158">
        <v>0.25</v>
      </c>
      <c r="G17" s="48">
        <v>0</v>
      </c>
      <c r="H17" s="49">
        <f>G17*F17</f>
        <v>0</v>
      </c>
      <c r="I17" s="73"/>
      <c r="J17" s="152"/>
      <c r="K17" s="146"/>
      <c r="L17" s="146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64"/>
      <c r="AB17" s="37"/>
    </row>
    <row r="18" spans="1:28" ht="12.75" customHeight="1">
      <c r="A18" s="190"/>
      <c r="B18" s="44"/>
      <c r="C18" s="76"/>
      <c r="D18" s="44"/>
      <c r="E18" s="44"/>
      <c r="F18" s="57"/>
      <c r="G18" s="61"/>
      <c r="H18" s="61"/>
      <c r="I18" s="73"/>
      <c r="J18" s="87"/>
      <c r="K18" s="81"/>
      <c r="L18" s="81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64"/>
      <c r="AB18" s="37"/>
    </row>
    <row r="19" spans="1:28" ht="14.25" customHeight="1">
      <c r="A19" s="190"/>
      <c r="B19" s="117" t="s">
        <v>143</v>
      </c>
      <c r="C19" s="87"/>
      <c r="D19" s="47" t="s">
        <v>144</v>
      </c>
      <c r="E19" s="47" t="s">
        <v>145</v>
      </c>
      <c r="F19" s="157">
        <f>fer!I6+fer!I11</f>
        <v>18.600000000000001</v>
      </c>
      <c r="G19" s="48">
        <v>0</v>
      </c>
      <c r="H19" s="49">
        <f>G19*F19</f>
        <v>0</v>
      </c>
      <c r="I19" s="151"/>
      <c r="J19" s="152"/>
      <c r="K19" s="146"/>
      <c r="L19" s="146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64"/>
      <c r="AB19" s="37"/>
    </row>
    <row r="20" spans="1:28" ht="14.25" customHeight="1">
      <c r="A20" s="190"/>
      <c r="B20" s="117" t="s">
        <v>146</v>
      </c>
      <c r="C20" s="87"/>
      <c r="D20" s="47" t="s">
        <v>147</v>
      </c>
      <c r="E20" s="47" t="s">
        <v>145</v>
      </c>
      <c r="F20" s="157">
        <f>fer!J12</f>
        <v>28.05</v>
      </c>
      <c r="G20" s="48">
        <v>0</v>
      </c>
      <c r="H20" s="49">
        <f>G20*F20</f>
        <v>0</v>
      </c>
      <c r="I20" s="151"/>
      <c r="J20" s="152"/>
      <c r="K20" s="146"/>
      <c r="L20" s="146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64"/>
      <c r="AB20" s="37"/>
    </row>
    <row r="21" spans="1:28" ht="14.25" customHeight="1">
      <c r="A21" s="190"/>
      <c r="B21" s="117"/>
      <c r="C21" s="87"/>
      <c r="D21" s="47" t="s">
        <v>148</v>
      </c>
      <c r="E21" s="47" t="s">
        <v>149</v>
      </c>
      <c r="F21" s="157">
        <f>fer!L7+fer!L13</f>
        <v>6.9750000000000005</v>
      </c>
      <c r="G21" s="48">
        <v>0</v>
      </c>
      <c r="H21" s="49">
        <f>G21*F21</f>
        <v>0</v>
      </c>
      <c r="I21" s="73"/>
      <c r="J21" s="152"/>
      <c r="K21" s="146"/>
      <c r="L21" s="146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64"/>
      <c r="AB21" s="37"/>
    </row>
    <row r="22" spans="1:28" ht="14.25" customHeight="1">
      <c r="A22" s="190"/>
      <c r="B22" s="117" t="s">
        <v>140</v>
      </c>
      <c r="C22" s="87"/>
      <c r="D22" s="47" t="s">
        <v>141</v>
      </c>
      <c r="E22" s="47" t="s">
        <v>142</v>
      </c>
      <c r="F22" s="157">
        <v>1</v>
      </c>
      <c r="G22" s="48">
        <v>0</v>
      </c>
      <c r="H22" s="49">
        <f>G22*F22</f>
        <v>0</v>
      </c>
      <c r="I22" s="73"/>
      <c r="J22" s="152"/>
      <c r="K22" s="146"/>
      <c r="L22" s="146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64"/>
      <c r="AB22" s="37"/>
    </row>
    <row r="23" spans="1:28" ht="12.75" customHeight="1">
      <c r="A23" s="190"/>
      <c r="B23" s="44"/>
      <c r="C23" s="76"/>
      <c r="D23" s="44"/>
      <c r="E23" s="44"/>
      <c r="F23" s="57"/>
      <c r="G23" s="61"/>
      <c r="H23" s="61"/>
      <c r="I23" s="73"/>
      <c r="J23" s="87"/>
      <c r="K23" s="81"/>
      <c r="L23" s="81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64"/>
      <c r="AB23" s="37"/>
    </row>
    <row r="24" spans="1:28" ht="14.25" customHeight="1">
      <c r="A24" s="190"/>
      <c r="B24" s="117" t="str">
        <f>materiaux!A31</f>
        <v>Semelles poteaux</v>
      </c>
      <c r="C24" s="87" t="str">
        <f>materiaux!B31</f>
        <v>Béton dosé 300 kg/m3</v>
      </c>
      <c r="D24" s="47" t="str">
        <f>materiaux!$J$32</f>
        <v>sable</v>
      </c>
      <c r="E24" s="47" t="s">
        <v>64</v>
      </c>
      <c r="F24" s="157">
        <f>materiaux!J38</f>
        <v>8.4239999999999995</v>
      </c>
      <c r="G24" s="48">
        <v>0</v>
      </c>
      <c r="H24" s="49">
        <f>G24*F24</f>
        <v>0</v>
      </c>
      <c r="I24" s="73"/>
      <c r="J24" s="152"/>
      <c r="K24" s="146"/>
      <c r="L24" s="146"/>
      <c r="M24" s="55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64"/>
      <c r="AB24" s="37"/>
    </row>
    <row r="25" spans="1:28" ht="14.25" customHeight="1">
      <c r="A25" s="190"/>
      <c r="B25" s="117"/>
      <c r="C25" s="87"/>
      <c r="D25" s="47" t="str">
        <f>materiaux!$K$32</f>
        <v>gravier</v>
      </c>
      <c r="E25" s="47" t="s">
        <v>64</v>
      </c>
      <c r="F25" s="157">
        <f>materiaux!K38</f>
        <v>12.635999999999997</v>
      </c>
      <c r="G25" s="48">
        <v>0</v>
      </c>
      <c r="H25" s="49">
        <f>G25*F25</f>
        <v>0</v>
      </c>
      <c r="I25" s="73"/>
      <c r="J25" s="152"/>
      <c r="K25" s="146"/>
      <c r="L25" s="146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64"/>
      <c r="AB25" s="37"/>
    </row>
    <row r="26" spans="1:28" ht="12.75" customHeight="1">
      <c r="A26" s="190"/>
      <c r="B26" s="117"/>
      <c r="C26" s="87"/>
      <c r="D26" s="47" t="str">
        <f>materiaux!$L$32</f>
        <v>ciment</v>
      </c>
      <c r="E26" s="47" t="s">
        <v>65</v>
      </c>
      <c r="F26" s="157">
        <f>materiaux!L38</f>
        <v>3</v>
      </c>
      <c r="G26" s="48">
        <v>0</v>
      </c>
      <c r="H26" s="49">
        <f>G26*F26</f>
        <v>0</v>
      </c>
      <c r="I26" s="73"/>
      <c r="J26" s="152"/>
      <c r="K26" s="146"/>
      <c r="L26" s="146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64"/>
      <c r="AB26" s="37"/>
    </row>
    <row r="27" spans="1:28" ht="12.75" customHeight="1">
      <c r="A27" s="190"/>
      <c r="B27" s="117"/>
      <c r="C27" s="31"/>
      <c r="D27" s="47" t="str">
        <f>materiaux!$M$32</f>
        <v>Eau</v>
      </c>
      <c r="E27" s="47" t="s">
        <v>139</v>
      </c>
      <c r="F27" s="157">
        <f>materiaux!M38</f>
        <v>2</v>
      </c>
      <c r="G27" s="48">
        <v>0</v>
      </c>
      <c r="H27" s="49">
        <f>G27*F27</f>
        <v>0</v>
      </c>
      <c r="I27" s="73"/>
      <c r="J27" s="152"/>
      <c r="K27" s="146"/>
      <c r="L27" s="146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64"/>
      <c r="AB27" s="37"/>
    </row>
    <row r="28" spans="1:28" ht="14.25" customHeight="1">
      <c r="A28" s="190"/>
      <c r="B28" s="117" t="s">
        <v>140</v>
      </c>
      <c r="C28" s="87"/>
      <c r="D28" s="47" t="s">
        <v>141</v>
      </c>
      <c r="E28" s="47" t="s">
        <v>142</v>
      </c>
      <c r="F28" s="158">
        <v>0.25</v>
      </c>
      <c r="G28" s="48">
        <v>0</v>
      </c>
      <c r="H28" s="49">
        <f>G28*F28</f>
        <v>0</v>
      </c>
      <c r="I28" s="73"/>
      <c r="J28" s="152"/>
      <c r="K28" s="146"/>
      <c r="L28" s="146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64"/>
      <c r="AB28" s="37"/>
    </row>
    <row r="29" spans="1:28" ht="12.75" customHeight="1">
      <c r="A29" s="190"/>
      <c r="B29" s="44"/>
      <c r="C29" s="76"/>
      <c r="D29" s="44"/>
      <c r="E29" s="44"/>
      <c r="F29" s="57"/>
      <c r="G29" s="61"/>
      <c r="H29" s="61"/>
      <c r="I29" s="73"/>
      <c r="J29" s="87"/>
      <c r="K29" s="81"/>
      <c r="L29" s="81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64"/>
      <c r="AB29" s="37"/>
    </row>
    <row r="30" spans="1:28" ht="14.25" customHeight="1">
      <c r="A30" s="190"/>
      <c r="B30" s="117" t="str">
        <f>materiaux!$A$42</f>
        <v>Murs fondation</v>
      </c>
      <c r="C30" s="87" t="str">
        <f>materiaux!$B$42</f>
        <v>Maçonnerie 300kg</v>
      </c>
      <c r="D30" s="47" t="str">
        <f>materiaux!J43</f>
        <v>sable</v>
      </c>
      <c r="E30" s="47" t="s">
        <v>64</v>
      </c>
      <c r="F30" s="157">
        <f>materiaux!J50</f>
        <v>73</v>
      </c>
      <c r="G30" s="48">
        <v>0</v>
      </c>
      <c r="H30" s="49">
        <f>G30*F30</f>
        <v>0</v>
      </c>
      <c r="I30" s="73"/>
      <c r="J30" s="152"/>
      <c r="K30" s="146"/>
      <c r="L30" s="146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64"/>
      <c r="AB30" s="37"/>
    </row>
    <row r="31" spans="1:28" ht="12.75" customHeight="1">
      <c r="A31" s="190"/>
      <c r="B31" s="117"/>
      <c r="C31" s="87"/>
      <c r="D31" s="47" t="str">
        <f>materiaux!L43</f>
        <v>ciment</v>
      </c>
      <c r="E31" s="47" t="s">
        <v>65</v>
      </c>
      <c r="F31" s="157">
        <f>materiaux!L50</f>
        <v>9</v>
      </c>
      <c r="G31" s="48">
        <v>0</v>
      </c>
      <c r="H31" s="49">
        <f>G31*F31</f>
        <v>0</v>
      </c>
      <c r="I31" s="73"/>
      <c r="J31" s="152"/>
      <c r="K31" s="146"/>
      <c r="L31" s="146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64"/>
      <c r="AB31" s="37"/>
    </row>
    <row r="32" spans="1:28" ht="12.75" customHeight="1">
      <c r="A32" s="190"/>
      <c r="B32" s="117"/>
      <c r="C32" s="87"/>
      <c r="D32" s="47" t="str">
        <f>materiaux!M43</f>
        <v>Eau</v>
      </c>
      <c r="E32" s="47" t="s">
        <v>139</v>
      </c>
      <c r="F32" s="157">
        <f>materiaux!M50</f>
        <v>2</v>
      </c>
      <c r="G32" s="48">
        <v>0</v>
      </c>
      <c r="H32" s="49">
        <f>G32*F32</f>
        <v>0</v>
      </c>
      <c r="I32" s="73"/>
      <c r="J32" s="152"/>
      <c r="K32" s="146"/>
      <c r="L32" s="146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64"/>
      <c r="AB32" s="37"/>
    </row>
    <row r="33" spans="1:28" ht="14.25" customHeight="1">
      <c r="A33" s="190"/>
      <c r="B33" s="117"/>
      <c r="C33" s="87"/>
      <c r="D33" s="47" t="str">
        <f>materiaux!N43</f>
        <v xml:space="preserve">roches </v>
      </c>
      <c r="E33" s="47" t="s">
        <v>67</v>
      </c>
      <c r="F33" s="157">
        <f>materiaux!N50</f>
        <v>3</v>
      </c>
      <c r="G33" s="48">
        <v>0</v>
      </c>
      <c r="H33" s="49">
        <f>G33*F33</f>
        <v>0</v>
      </c>
      <c r="I33" s="151"/>
      <c r="J33" s="152"/>
      <c r="K33" s="146"/>
      <c r="L33" s="146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64"/>
      <c r="AB33" s="37"/>
    </row>
    <row r="34" spans="1:28" ht="14.25" customHeight="1">
      <c r="A34" s="190"/>
      <c r="B34" s="117" t="s">
        <v>140</v>
      </c>
      <c r="C34" s="87"/>
      <c r="D34" s="47" t="s">
        <v>141</v>
      </c>
      <c r="E34" s="47" t="s">
        <v>142</v>
      </c>
      <c r="F34" s="157">
        <v>2</v>
      </c>
      <c r="G34" s="48">
        <v>0</v>
      </c>
      <c r="H34" s="49">
        <f>G34*F34</f>
        <v>0</v>
      </c>
      <c r="I34" s="73"/>
      <c r="J34" s="152"/>
      <c r="K34" s="146"/>
      <c r="L34" s="146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64"/>
      <c r="AB34" s="37"/>
    </row>
    <row r="35" spans="1:28" ht="12.75" customHeight="1">
      <c r="A35" s="190"/>
      <c r="B35" s="44"/>
      <c r="C35" s="76"/>
      <c r="D35" s="44"/>
      <c r="E35" s="44"/>
      <c r="F35" s="57"/>
      <c r="G35" s="61"/>
      <c r="H35" s="61"/>
      <c r="I35" s="73"/>
      <c r="J35" s="87"/>
      <c r="K35" s="81"/>
      <c r="L35" s="81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64"/>
      <c r="AB35" s="37"/>
    </row>
    <row r="36" spans="1:28" ht="14.25" customHeight="1">
      <c r="A36" s="190"/>
      <c r="B36" s="117" t="str">
        <f>materiaux!A52</f>
        <v>Poteaux bas</v>
      </c>
      <c r="C36" s="87" t="str">
        <f>materiaux!B52</f>
        <v>Béton dosé 300 kg/m3</v>
      </c>
      <c r="D36" s="47" t="str">
        <f>materiaux!J53</f>
        <v>sable</v>
      </c>
      <c r="E36" s="47" t="s">
        <v>64</v>
      </c>
      <c r="F36" s="157">
        <f>materiaux!J60</f>
        <v>40.248000000000005</v>
      </c>
      <c r="G36" s="48">
        <v>0</v>
      </c>
      <c r="H36" s="49">
        <f>G36*F36</f>
        <v>0</v>
      </c>
      <c r="I36" s="73"/>
      <c r="J36" s="152"/>
      <c r="K36" s="146"/>
      <c r="L36" s="146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64"/>
      <c r="AB36" s="37"/>
    </row>
    <row r="37" spans="1:28" ht="14.25" customHeight="1">
      <c r="A37" s="190"/>
      <c r="B37" s="117"/>
      <c r="C37" s="87"/>
      <c r="D37" s="47" t="str">
        <f>materiaux!K53</f>
        <v>gravier</v>
      </c>
      <c r="E37" s="47" t="s">
        <v>64</v>
      </c>
      <c r="F37" s="157">
        <f>materiaux!K60</f>
        <v>60.372</v>
      </c>
      <c r="G37" s="48">
        <v>0</v>
      </c>
      <c r="H37" s="49">
        <f>G37*F37</f>
        <v>0</v>
      </c>
      <c r="I37" s="73"/>
      <c r="J37" s="152"/>
      <c r="K37" s="146"/>
      <c r="L37" s="146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64"/>
      <c r="AB37" s="37"/>
    </row>
    <row r="38" spans="1:28" ht="14.25" customHeight="1">
      <c r="A38" s="190"/>
      <c r="B38" s="117"/>
      <c r="C38" s="87"/>
      <c r="D38" s="47" t="str">
        <f>materiaux!L53</f>
        <v>ciment</v>
      </c>
      <c r="E38" s="47" t="s">
        <v>65</v>
      </c>
      <c r="F38" s="157">
        <f>materiaux!L60</f>
        <v>12</v>
      </c>
      <c r="G38" s="48">
        <v>0</v>
      </c>
      <c r="H38" s="49">
        <f>G38*F38</f>
        <v>0</v>
      </c>
      <c r="I38" s="73"/>
      <c r="J38" s="152"/>
      <c r="K38" s="146"/>
      <c r="L38" s="146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64"/>
      <c r="AB38" s="37"/>
    </row>
    <row r="39" spans="1:28" ht="14.25" customHeight="1">
      <c r="A39" s="190"/>
      <c r="B39" s="117"/>
      <c r="C39" s="87"/>
      <c r="D39" s="47" t="str">
        <f>materiaux!M53</f>
        <v>Eau</v>
      </c>
      <c r="E39" s="47" t="s">
        <v>139</v>
      </c>
      <c r="F39" s="157">
        <f>materiaux!M60</f>
        <v>6</v>
      </c>
      <c r="G39" s="48">
        <v>0</v>
      </c>
      <c r="H39" s="49">
        <f>G39*F39</f>
        <v>0</v>
      </c>
      <c r="I39" s="73"/>
      <c r="J39" s="152"/>
      <c r="K39" s="146"/>
      <c r="L39" s="146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64"/>
      <c r="AB39" s="37"/>
    </row>
    <row r="40" spans="1:28" ht="14.25" customHeight="1">
      <c r="A40" s="190"/>
      <c r="B40" s="117" t="s">
        <v>140</v>
      </c>
      <c r="C40" s="87"/>
      <c r="D40" s="47" t="s">
        <v>141</v>
      </c>
      <c r="E40" s="47" t="s">
        <v>142</v>
      </c>
      <c r="F40" s="157">
        <v>0.5</v>
      </c>
      <c r="G40" s="48">
        <v>0</v>
      </c>
      <c r="H40" s="49">
        <f>G40*F40</f>
        <v>0</v>
      </c>
      <c r="I40" s="73"/>
      <c r="J40" s="152"/>
      <c r="K40" s="146"/>
      <c r="L40" s="146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64"/>
      <c r="AB40" s="37"/>
    </row>
    <row r="41" spans="1:28" ht="14.25" customHeight="1">
      <c r="A41" s="190"/>
      <c r="B41" s="117"/>
      <c r="C41" s="87"/>
      <c r="D41" s="87"/>
      <c r="E41" s="87"/>
      <c r="F41" s="87"/>
      <c r="G41" s="87"/>
      <c r="H41" s="87"/>
      <c r="I41" s="87"/>
      <c r="J41" s="152"/>
      <c r="K41" s="146"/>
      <c r="L41" s="146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64"/>
      <c r="AB41" s="37"/>
    </row>
    <row r="42" spans="1:28" ht="12.75" customHeight="1">
      <c r="A42" s="190"/>
      <c r="B42" s="44"/>
      <c r="C42" s="76" t="s">
        <v>137</v>
      </c>
      <c r="D42" s="44"/>
      <c r="E42" s="44"/>
      <c r="F42" s="57"/>
      <c r="G42" s="61"/>
      <c r="H42" s="61">
        <f>SUM(H12:H40)</f>
        <v>0</v>
      </c>
      <c r="I42" s="73"/>
      <c r="J42" s="87"/>
      <c r="K42" s="81"/>
      <c r="L42" s="81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64"/>
      <c r="AB42" s="37"/>
    </row>
    <row r="43" spans="1:28" ht="14.25" customHeight="1">
      <c r="A43" s="117"/>
      <c r="B43" s="117"/>
      <c r="C43" s="117"/>
      <c r="D43" s="117"/>
      <c r="E43" s="117"/>
      <c r="F43" s="117"/>
      <c r="G43" s="117"/>
      <c r="H43" s="117"/>
      <c r="I43" s="73"/>
      <c r="J43" s="152"/>
      <c r="K43" s="146"/>
      <c r="L43" s="146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64"/>
      <c r="AB43" s="37"/>
    </row>
    <row r="44" spans="1:28" s="114" customFormat="1" ht="12.75" customHeight="1">
      <c r="A44" s="50"/>
      <c r="B44" s="50"/>
      <c r="C44" s="50"/>
      <c r="D44" s="50"/>
      <c r="E44" s="50"/>
      <c r="F44" s="113"/>
      <c r="I44" s="73"/>
    </row>
    <row r="45" spans="1:28" ht="14.25" customHeight="1">
      <c r="A45" s="195" t="s">
        <v>150</v>
      </c>
      <c r="B45" s="111" t="s">
        <v>151</v>
      </c>
      <c r="C45" s="87" t="s">
        <v>152</v>
      </c>
      <c r="D45" s="47" t="s">
        <v>144</v>
      </c>
      <c r="E45" s="47" t="s">
        <v>145</v>
      </c>
      <c r="F45" s="157">
        <f>fer!I15+fer!I19+fer!I35+fer!I36+fer!I42</f>
        <v>31.733333333333334</v>
      </c>
      <c r="G45" s="48">
        <v>0</v>
      </c>
      <c r="H45" s="49">
        <f t="shared" ref="H45:H50" si="0">G45*F45</f>
        <v>0</v>
      </c>
      <c r="I45" s="73"/>
      <c r="J45" s="152"/>
      <c r="K45" s="146"/>
      <c r="L45" s="146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64"/>
      <c r="AB45" s="37"/>
    </row>
    <row r="46" spans="1:28" ht="14.25" customHeight="1">
      <c r="A46" s="190"/>
      <c r="B46" s="111"/>
      <c r="C46" s="87"/>
      <c r="D46" s="47" t="s">
        <v>147</v>
      </c>
      <c r="E46" s="47" t="s">
        <v>145</v>
      </c>
      <c r="F46" s="157">
        <f>fer!J16+fer!J20</f>
        <v>26.774999999999999</v>
      </c>
      <c r="G46" s="48">
        <v>0</v>
      </c>
      <c r="H46" s="49">
        <f t="shared" si="0"/>
        <v>0</v>
      </c>
      <c r="I46" s="73"/>
      <c r="J46" s="152"/>
      <c r="K46" s="146"/>
      <c r="L46" s="146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64"/>
      <c r="AB46" s="37"/>
    </row>
    <row r="47" spans="1:28" ht="14.25" customHeight="1">
      <c r="A47" s="190"/>
      <c r="B47" s="111"/>
      <c r="C47" s="87"/>
      <c r="D47" s="47" t="s">
        <v>148</v>
      </c>
      <c r="E47" s="47" t="s">
        <v>149</v>
      </c>
      <c r="F47" s="157">
        <f>fer!L17+fer!L21+fer!L37+fer!L43</f>
        <v>15.45</v>
      </c>
      <c r="G47" s="48">
        <v>0</v>
      </c>
      <c r="H47" s="49">
        <f t="shared" si="0"/>
        <v>0</v>
      </c>
      <c r="I47" s="73"/>
      <c r="J47" s="152"/>
      <c r="K47" s="146"/>
      <c r="L47" s="146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64"/>
      <c r="AB47" s="37"/>
    </row>
    <row r="48" spans="1:28" ht="14.25" customHeight="1">
      <c r="A48" s="190"/>
      <c r="B48" s="111" t="s">
        <v>140</v>
      </c>
      <c r="C48" s="87"/>
      <c r="D48" s="47" t="s">
        <v>141</v>
      </c>
      <c r="E48" s="47" t="s">
        <v>142</v>
      </c>
      <c r="F48" s="157">
        <v>1</v>
      </c>
      <c r="G48" s="48">
        <v>0</v>
      </c>
      <c r="H48" s="49">
        <f t="shared" si="0"/>
        <v>0</v>
      </c>
      <c r="I48" s="73"/>
      <c r="J48" s="152"/>
      <c r="K48" s="146"/>
      <c r="L48" s="146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64"/>
      <c r="AB48" s="37"/>
    </row>
    <row r="49" spans="1:28" ht="12.75" customHeight="1">
      <c r="A49" s="190"/>
      <c r="B49" s="44"/>
      <c r="C49" s="76"/>
      <c r="D49" s="44"/>
      <c r="E49" s="44"/>
      <c r="F49" s="57"/>
      <c r="G49" s="61"/>
      <c r="H49" s="61"/>
      <c r="I49" s="73"/>
      <c r="J49" s="87"/>
      <c r="K49" s="81"/>
      <c r="L49" s="81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64"/>
      <c r="AB49" s="37"/>
    </row>
    <row r="50" spans="1:28" ht="14.25" customHeight="1">
      <c r="A50" s="190"/>
      <c r="B50" s="111" t="s">
        <v>140</v>
      </c>
      <c r="C50" s="87" t="s">
        <v>153</v>
      </c>
      <c r="D50" s="47" t="s">
        <v>141</v>
      </c>
      <c r="E50" s="47" t="s">
        <v>142</v>
      </c>
      <c r="F50" s="157">
        <v>1</v>
      </c>
      <c r="G50" s="48">
        <v>0</v>
      </c>
      <c r="H50" s="49">
        <f t="shared" si="0"/>
        <v>0</v>
      </c>
      <c r="I50" s="73"/>
      <c r="J50" s="152"/>
      <c r="K50" s="146"/>
      <c r="L50" s="146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64"/>
      <c r="AB50" s="37"/>
    </row>
    <row r="51" spans="1:28" ht="12.75" customHeight="1">
      <c r="A51" s="190"/>
      <c r="B51" s="44"/>
      <c r="C51" s="76"/>
      <c r="D51" s="44"/>
      <c r="E51" s="44"/>
      <c r="F51" s="57"/>
      <c r="G51" s="61"/>
      <c r="H51" s="61"/>
      <c r="I51" s="73"/>
      <c r="J51" s="87"/>
      <c r="K51" s="81"/>
      <c r="L51" s="81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64"/>
      <c r="AB51" s="37"/>
    </row>
    <row r="52" spans="1:28" ht="14.25" customHeight="1">
      <c r="A52" s="190"/>
      <c r="B52" s="111" t="str">
        <f>materiaux!A63</f>
        <v>Chainage bas</v>
      </c>
      <c r="C52" s="87" t="str">
        <f>materiaux!B63</f>
        <v>Béton dosé 300 kg/m3</v>
      </c>
      <c r="D52" s="47" t="str">
        <f>materiaux!J64</f>
        <v>sable</v>
      </c>
      <c r="E52" s="47" t="s">
        <v>64</v>
      </c>
      <c r="F52" s="157">
        <f>materiaux!J71</f>
        <v>29.744000000000003</v>
      </c>
      <c r="G52" s="48">
        <v>0</v>
      </c>
      <c r="H52" s="49">
        <f>G52*F52</f>
        <v>0</v>
      </c>
      <c r="I52" s="73"/>
      <c r="J52" s="152"/>
      <c r="K52" s="146"/>
      <c r="L52" s="146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64"/>
      <c r="AB52" s="37"/>
    </row>
    <row r="53" spans="1:28" ht="12.75" customHeight="1">
      <c r="A53" s="190"/>
      <c r="B53" s="111"/>
      <c r="C53" s="87"/>
      <c r="D53" s="47" t="str">
        <f>materiaux!K64</f>
        <v>gravier</v>
      </c>
      <c r="E53" s="47" t="s">
        <v>64</v>
      </c>
      <c r="F53" s="157">
        <f>materiaux!K71</f>
        <v>44.616000000000007</v>
      </c>
      <c r="G53" s="48">
        <v>0</v>
      </c>
      <c r="H53" s="49">
        <f>G53*F53</f>
        <v>0</v>
      </c>
      <c r="I53" s="73"/>
      <c r="J53" s="152"/>
      <c r="K53" s="146"/>
      <c r="L53" s="146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64"/>
      <c r="AB53" s="37"/>
    </row>
    <row r="54" spans="1:28" ht="12.75" customHeight="1">
      <c r="A54" s="190"/>
      <c r="B54" s="111"/>
      <c r="C54" s="87"/>
      <c r="D54" s="47" t="str">
        <f>materiaux!L64</f>
        <v>ciment</v>
      </c>
      <c r="E54" s="47" t="s">
        <v>65</v>
      </c>
      <c r="F54" s="157">
        <f>materiaux!L71</f>
        <v>9</v>
      </c>
      <c r="G54" s="48">
        <v>0</v>
      </c>
      <c r="H54" s="49">
        <f>G54*F54</f>
        <v>0</v>
      </c>
      <c r="I54" s="73"/>
      <c r="J54" s="152"/>
      <c r="K54" s="146"/>
      <c r="L54" s="146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64"/>
      <c r="AB54" s="37"/>
    </row>
    <row r="55" spans="1:28" ht="14.25" customHeight="1">
      <c r="A55" s="190"/>
      <c r="B55" s="111"/>
      <c r="C55" s="87"/>
      <c r="D55" s="47" t="str">
        <f>materiaux!M68</f>
        <v>Eau</v>
      </c>
      <c r="E55" s="47" t="s">
        <v>139</v>
      </c>
      <c r="F55" s="157">
        <f>materiaux!M71</f>
        <v>5</v>
      </c>
      <c r="G55" s="48">
        <v>0</v>
      </c>
      <c r="H55" s="49">
        <f>G55*F55</f>
        <v>0</v>
      </c>
      <c r="I55" s="73"/>
      <c r="J55" s="152"/>
      <c r="K55" s="146"/>
      <c r="L55" s="146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64"/>
      <c r="AB55" s="37"/>
    </row>
    <row r="56" spans="1:28" ht="14.25" customHeight="1">
      <c r="A56" s="190"/>
      <c r="B56" s="111" t="s">
        <v>140</v>
      </c>
      <c r="C56" s="87"/>
      <c r="D56" s="47" t="s">
        <v>141</v>
      </c>
      <c r="E56" s="47" t="s">
        <v>142</v>
      </c>
      <c r="F56" s="159">
        <v>0.5</v>
      </c>
      <c r="G56" s="48">
        <v>0</v>
      </c>
      <c r="H56" s="49">
        <f>G56*F56</f>
        <v>0</v>
      </c>
      <c r="I56" s="73"/>
      <c r="J56" s="152"/>
      <c r="K56" s="146"/>
      <c r="L56" s="146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64"/>
      <c r="AB56" s="37"/>
    </row>
    <row r="57" spans="1:28" ht="12.75" customHeight="1">
      <c r="A57" s="190"/>
      <c r="B57" s="44"/>
      <c r="C57" s="76"/>
      <c r="D57" s="44"/>
      <c r="E57" s="44"/>
      <c r="F57" s="57"/>
      <c r="G57" s="61"/>
      <c r="H57" s="61"/>
      <c r="I57" s="73"/>
      <c r="J57" s="87"/>
      <c r="K57" s="81"/>
      <c r="L57" s="81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64"/>
      <c r="AB57" s="37"/>
    </row>
    <row r="58" spans="1:28" ht="14.25" customHeight="1">
      <c r="A58" s="190"/>
      <c r="B58" s="111" t="s">
        <v>154</v>
      </c>
      <c r="C58" s="87" t="s">
        <v>152</v>
      </c>
      <c r="D58" s="47" t="s">
        <v>144</v>
      </c>
      <c r="E58" s="47" t="s">
        <v>145</v>
      </c>
      <c r="F58" s="157">
        <f>fer!I45+fer!I46</f>
        <v>32.666666666666671</v>
      </c>
      <c r="G58" s="48">
        <v>0</v>
      </c>
      <c r="H58" s="49">
        <f>G58*F58</f>
        <v>0</v>
      </c>
      <c r="I58" s="73"/>
      <c r="J58" s="152"/>
      <c r="K58" s="146"/>
      <c r="L58" s="146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64"/>
      <c r="AB58" s="37"/>
    </row>
    <row r="59" spans="1:28" ht="14.25" customHeight="1">
      <c r="A59" s="190"/>
      <c r="B59" s="111"/>
      <c r="C59" s="87"/>
      <c r="D59" s="47" t="s">
        <v>148</v>
      </c>
      <c r="E59" s="47" t="s">
        <v>149</v>
      </c>
      <c r="F59" s="157">
        <f>fer!L47</f>
        <v>4.4444444444444455</v>
      </c>
      <c r="G59" s="48">
        <v>0</v>
      </c>
      <c r="H59" s="49">
        <f>G59*F59</f>
        <v>0</v>
      </c>
      <c r="I59" s="73"/>
      <c r="J59" s="152"/>
      <c r="K59" s="146"/>
      <c r="L59" s="146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64"/>
      <c r="AB59" s="37"/>
    </row>
    <row r="60" spans="1:28" ht="14.25" customHeight="1">
      <c r="A60" s="190"/>
      <c r="B60" s="111" t="s">
        <v>140</v>
      </c>
      <c r="C60" s="87"/>
      <c r="D60" s="47" t="s">
        <v>141</v>
      </c>
      <c r="E60" s="47" t="s">
        <v>142</v>
      </c>
      <c r="F60" s="157">
        <v>1</v>
      </c>
      <c r="G60" s="48">
        <v>0</v>
      </c>
      <c r="H60" s="49">
        <f>G60*F60</f>
        <v>0</v>
      </c>
      <c r="I60" s="73"/>
      <c r="J60" s="152"/>
      <c r="K60" s="146"/>
      <c r="L60" s="146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64"/>
      <c r="AB60" s="37"/>
    </row>
    <row r="61" spans="1:28" ht="12.75" customHeight="1">
      <c r="A61" s="190"/>
      <c r="B61" s="44"/>
      <c r="C61" s="76"/>
      <c r="D61" s="44"/>
      <c r="E61" s="44"/>
      <c r="F61" s="57"/>
      <c r="G61" s="61"/>
      <c r="H61" s="61"/>
      <c r="I61" s="73"/>
      <c r="J61" s="87"/>
      <c r="K61" s="81"/>
      <c r="L61" s="81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64"/>
      <c r="AB61" s="37"/>
    </row>
    <row r="62" spans="1:28" ht="14.25" customHeight="1">
      <c r="A62" s="190"/>
      <c r="B62" s="111" t="s">
        <v>140</v>
      </c>
      <c r="C62" s="87" t="s">
        <v>155</v>
      </c>
      <c r="D62" s="47" t="s">
        <v>141</v>
      </c>
      <c r="E62" s="47" t="s">
        <v>142</v>
      </c>
      <c r="F62" s="158">
        <v>0.5</v>
      </c>
      <c r="G62" s="48">
        <v>0</v>
      </c>
      <c r="H62" s="49">
        <f>G62*F62</f>
        <v>0</v>
      </c>
      <c r="I62" s="73"/>
      <c r="J62" s="152"/>
      <c r="K62" s="146"/>
      <c r="L62" s="146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64"/>
      <c r="AB62" s="37"/>
    </row>
    <row r="63" spans="1:28" ht="12.75" customHeight="1">
      <c r="A63" s="190"/>
      <c r="B63" s="44"/>
      <c r="C63" s="76"/>
      <c r="D63" s="44"/>
      <c r="E63" s="44"/>
      <c r="F63" s="57"/>
      <c r="G63" s="61"/>
      <c r="H63" s="61"/>
      <c r="I63" s="73"/>
      <c r="J63" s="87"/>
      <c r="K63" s="81"/>
      <c r="L63" s="81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64"/>
      <c r="AB63" s="37"/>
    </row>
    <row r="64" spans="1:28" ht="14.25" customHeight="1">
      <c r="A64" s="190"/>
      <c r="B64" s="111" t="str">
        <f>materiaux!A72</f>
        <v>radier</v>
      </c>
      <c r="C64" s="87" t="str">
        <f>materiaux!B72</f>
        <v>Béton dosé 450 kg/m3</v>
      </c>
      <c r="D64" s="47" t="str">
        <f>materiaux!J73</f>
        <v>sable</v>
      </c>
      <c r="E64" s="47" t="s">
        <v>64</v>
      </c>
      <c r="F64" s="158">
        <f>materiaux!J80</f>
        <v>92.664000000000016</v>
      </c>
      <c r="G64" s="48">
        <v>0</v>
      </c>
      <c r="H64" s="49">
        <f>G64*F64</f>
        <v>0</v>
      </c>
      <c r="I64" s="73"/>
      <c r="J64" s="152"/>
      <c r="K64" s="146"/>
      <c r="L64" s="146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64"/>
      <c r="AB64" s="37"/>
    </row>
    <row r="65" spans="1:28" ht="12.75" customHeight="1">
      <c r="A65" s="190"/>
      <c r="B65" s="111"/>
      <c r="C65" s="87"/>
      <c r="D65" s="47" t="str">
        <f>materiaux!K73</f>
        <v>gravier</v>
      </c>
      <c r="E65" s="47" t="s">
        <v>64</v>
      </c>
      <c r="F65" s="158">
        <f>materiaux!K80</f>
        <v>138.99600000000004</v>
      </c>
      <c r="G65" s="48">
        <v>0</v>
      </c>
      <c r="H65" s="49">
        <f>G65*F65</f>
        <v>0</v>
      </c>
      <c r="I65" s="73"/>
      <c r="J65" s="152"/>
      <c r="K65" s="146"/>
      <c r="L65" s="146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64"/>
      <c r="AB65" s="37"/>
    </row>
    <row r="66" spans="1:28" ht="12.75" customHeight="1">
      <c r="A66" s="190"/>
      <c r="B66" s="111"/>
      <c r="C66" s="87"/>
      <c r="D66" s="47" t="str">
        <f>materiaux!L73</f>
        <v>ciment</v>
      </c>
      <c r="E66" s="47" t="s">
        <v>65</v>
      </c>
      <c r="F66" s="158">
        <f>materiaux!L80</f>
        <v>39</v>
      </c>
      <c r="G66" s="48">
        <v>0</v>
      </c>
      <c r="H66" s="49">
        <f>G66*F66</f>
        <v>0</v>
      </c>
      <c r="I66" s="73"/>
      <c r="J66" s="152"/>
      <c r="K66" s="146"/>
      <c r="L66" s="146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64"/>
      <c r="AB66" s="37"/>
    </row>
    <row r="67" spans="1:28" ht="14.25" customHeight="1">
      <c r="A67" s="190"/>
      <c r="B67" s="111"/>
      <c r="C67" s="87"/>
      <c r="D67" s="47" t="str">
        <f>materiaux!M73</f>
        <v>Eau</v>
      </c>
      <c r="E67" s="47" t="s">
        <v>139</v>
      </c>
      <c r="F67" s="158">
        <f>materiaux!M80</f>
        <v>20</v>
      </c>
      <c r="G67" s="48">
        <v>0</v>
      </c>
      <c r="H67" s="49">
        <f>G67*F67</f>
        <v>0</v>
      </c>
      <c r="I67" s="73"/>
      <c r="J67" s="152"/>
      <c r="K67" s="146"/>
      <c r="L67" s="146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64"/>
      <c r="AB67" s="37"/>
    </row>
    <row r="68" spans="1:28" ht="14.25" customHeight="1">
      <c r="A68" s="190"/>
      <c r="B68" s="111" t="s">
        <v>140</v>
      </c>
      <c r="C68" s="87"/>
      <c r="D68" s="47" t="s">
        <v>141</v>
      </c>
      <c r="E68" s="47" t="s">
        <v>142</v>
      </c>
      <c r="F68" s="158">
        <v>1</v>
      </c>
      <c r="G68" s="48">
        <v>0</v>
      </c>
      <c r="H68" s="49">
        <f>G68*F68</f>
        <v>0</v>
      </c>
      <c r="I68" s="73"/>
      <c r="J68" s="152"/>
      <c r="K68" s="146"/>
      <c r="L68" s="146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64"/>
      <c r="AB68" s="37"/>
    </row>
    <row r="69" spans="1:28" ht="12.75" customHeight="1">
      <c r="A69" s="190"/>
      <c r="B69" s="44"/>
      <c r="C69" s="76"/>
      <c r="D69" s="44"/>
      <c r="E69" s="44"/>
      <c r="F69" s="57"/>
      <c r="G69" s="61"/>
      <c r="H69" s="61"/>
      <c r="I69" s="73"/>
      <c r="J69" s="87"/>
      <c r="K69" s="81"/>
      <c r="L69" s="81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64"/>
      <c r="AB69" s="37"/>
    </row>
    <row r="70" spans="1:28" ht="14.25" customHeight="1">
      <c r="A70" s="190"/>
      <c r="B70" s="111" t="str">
        <f>materiaux!A81</f>
        <v>murs</v>
      </c>
      <c r="C70" s="87" t="str">
        <f>materiaux!B81</f>
        <v>Maçonnerie bloc mortier 300kg/m3</v>
      </c>
      <c r="D70" s="47" t="str">
        <f>materiaux!J82</f>
        <v>sable</v>
      </c>
      <c r="E70" s="47" t="s">
        <v>64</v>
      </c>
      <c r="F70" s="158">
        <f>materiaux!J89</f>
        <v>147.2328</v>
      </c>
      <c r="G70" s="48">
        <v>0</v>
      </c>
      <c r="H70" s="49">
        <f>G70*F70</f>
        <v>0</v>
      </c>
      <c r="I70" s="73"/>
      <c r="J70" s="152"/>
      <c r="K70" s="146"/>
      <c r="L70" s="146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64"/>
      <c r="AB70" s="37"/>
    </row>
    <row r="71" spans="1:28" ht="14.25" customHeight="1">
      <c r="A71" s="190"/>
      <c r="B71" s="111"/>
      <c r="C71" s="87"/>
      <c r="D71" s="47" t="str">
        <f>materiaux!L82</f>
        <v>ciment</v>
      </c>
      <c r="E71" s="47" t="s">
        <v>65</v>
      </c>
      <c r="F71" s="158">
        <f>materiaux!L89</f>
        <v>19</v>
      </c>
      <c r="G71" s="48">
        <v>0</v>
      </c>
      <c r="H71" s="49">
        <f>G71*F71</f>
        <v>0</v>
      </c>
      <c r="I71" s="73"/>
      <c r="J71" s="152"/>
      <c r="K71" s="146"/>
      <c r="L71" s="146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64"/>
      <c r="AB71" s="37"/>
    </row>
    <row r="72" spans="1:28" ht="14.25" customHeight="1">
      <c r="A72" s="190"/>
      <c r="B72" s="111"/>
      <c r="C72" s="87"/>
      <c r="D72" s="47" t="str">
        <f>materiaux!M82</f>
        <v>Eau</v>
      </c>
      <c r="E72" s="47" t="s">
        <v>139</v>
      </c>
      <c r="F72" s="158">
        <f>materiaux!M89</f>
        <v>10</v>
      </c>
      <c r="G72" s="48">
        <v>0</v>
      </c>
      <c r="H72" s="49">
        <f>G72*F72</f>
        <v>0</v>
      </c>
      <c r="I72" s="73"/>
      <c r="J72" s="152"/>
      <c r="K72" s="146"/>
      <c r="L72" s="146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64"/>
      <c r="AB72" s="37"/>
    </row>
    <row r="73" spans="1:28" ht="14.25" customHeight="1">
      <c r="A73" s="190"/>
      <c r="B73" s="111"/>
      <c r="C73" s="87"/>
      <c r="D73" s="47" t="str">
        <f>materiaux!O82</f>
        <v>bloc</v>
      </c>
      <c r="E73" s="47" t="s">
        <v>122</v>
      </c>
      <c r="F73" s="158">
        <f>materiaux!O89</f>
        <v>450</v>
      </c>
      <c r="G73" s="48">
        <v>0</v>
      </c>
      <c r="H73" s="49">
        <f>G73*F73</f>
        <v>0</v>
      </c>
      <c r="I73" s="73"/>
      <c r="J73" s="152"/>
      <c r="K73" s="146"/>
      <c r="L73" s="146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64"/>
      <c r="AB73" s="37"/>
    </row>
    <row r="74" spans="1:28" ht="14.25" customHeight="1">
      <c r="A74" s="190"/>
      <c r="B74" s="111" t="s">
        <v>156</v>
      </c>
      <c r="C74" s="87"/>
      <c r="D74" s="47" t="s">
        <v>141</v>
      </c>
      <c r="E74" s="47" t="s">
        <v>142</v>
      </c>
      <c r="F74" s="158">
        <v>2</v>
      </c>
      <c r="G74" s="48">
        <v>0</v>
      </c>
      <c r="H74" s="49">
        <f>G74*F74</f>
        <v>0</v>
      </c>
      <c r="I74" s="73"/>
      <c r="J74" s="152"/>
      <c r="K74" s="146"/>
      <c r="L74" s="146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64"/>
      <c r="AB74" s="37"/>
    </row>
    <row r="75" spans="1:28" ht="12.75" customHeight="1">
      <c r="A75" s="190"/>
      <c r="B75" s="44"/>
      <c r="C75" s="76"/>
      <c r="D75" s="44"/>
      <c r="E75" s="44"/>
      <c r="F75" s="57"/>
      <c r="G75" s="61"/>
      <c r="H75" s="61"/>
      <c r="I75" s="73"/>
      <c r="J75" s="87"/>
      <c r="K75" s="81"/>
      <c r="L75" s="81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64"/>
      <c r="AB75" s="37"/>
    </row>
    <row r="76" spans="1:28" ht="14.25" customHeight="1">
      <c r="A76" s="190"/>
      <c r="B76" s="111" t="s">
        <v>140</v>
      </c>
      <c r="C76" s="87" t="s">
        <v>157</v>
      </c>
      <c r="D76" s="47" t="s">
        <v>141</v>
      </c>
      <c r="E76" s="47" t="s">
        <v>142</v>
      </c>
      <c r="F76" s="158">
        <v>0.5</v>
      </c>
      <c r="G76" s="48">
        <v>0</v>
      </c>
      <c r="H76" s="49">
        <f>G76*F76</f>
        <v>0</v>
      </c>
      <c r="I76" s="73"/>
      <c r="J76" s="152"/>
      <c r="K76" s="146"/>
      <c r="L76" s="146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64"/>
      <c r="AB76" s="37"/>
    </row>
    <row r="77" spans="1:28" ht="12.75" customHeight="1">
      <c r="A77" s="190"/>
      <c r="B77" s="44"/>
      <c r="C77" s="76"/>
      <c r="D77" s="44"/>
      <c r="E77" s="44"/>
      <c r="F77" s="44"/>
      <c r="G77" s="61"/>
      <c r="H77" s="61"/>
      <c r="I77" s="73"/>
      <c r="J77" s="87"/>
      <c r="K77" s="81"/>
      <c r="L77" s="81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64"/>
      <c r="AB77" s="37"/>
    </row>
    <row r="78" spans="1:28" ht="14.25" customHeight="1">
      <c r="A78" s="190"/>
      <c r="B78" s="111" t="str">
        <f>materiaux!A92</f>
        <v>Poteaux</v>
      </c>
      <c r="C78" s="87" t="str">
        <f>materiaux!B92</f>
        <v>Béton dosé 300 kg/m3</v>
      </c>
      <c r="D78" s="47" t="str">
        <f>materiaux!J93</f>
        <v>sable</v>
      </c>
      <c r="E78" s="47" t="s">
        <v>64</v>
      </c>
      <c r="F78" s="158">
        <f>materiaux!J99</f>
        <v>12.168000000000001</v>
      </c>
      <c r="G78" s="48">
        <v>0</v>
      </c>
      <c r="H78" s="49">
        <f>G78*F78</f>
        <v>0</v>
      </c>
      <c r="I78" s="73"/>
      <c r="J78" s="152"/>
      <c r="K78" s="146"/>
      <c r="L78" s="146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64"/>
      <c r="AB78" s="37"/>
    </row>
    <row r="79" spans="1:28" ht="14.25" customHeight="1">
      <c r="A79" s="190"/>
      <c r="B79" s="111"/>
      <c r="C79" s="87"/>
      <c r="D79" s="47" t="str">
        <f>materiaux!K93</f>
        <v>gravier</v>
      </c>
      <c r="E79" s="47" t="s">
        <v>64</v>
      </c>
      <c r="F79" s="158">
        <f>materiaux!K99</f>
        <v>18.252000000000002</v>
      </c>
      <c r="G79" s="48">
        <v>0</v>
      </c>
      <c r="H79" s="49">
        <f>G79*F79</f>
        <v>0</v>
      </c>
      <c r="I79" s="73"/>
      <c r="J79" s="152"/>
      <c r="K79" s="146"/>
      <c r="L79" s="146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64"/>
      <c r="AB79" s="37"/>
    </row>
    <row r="80" spans="1:28" ht="14.25" customHeight="1">
      <c r="A80" s="190"/>
      <c r="B80" s="111"/>
      <c r="C80" s="87"/>
      <c r="D80" s="47" t="str">
        <f>materiaux!L93</f>
        <v>ciment</v>
      </c>
      <c r="E80" s="47" t="s">
        <v>65</v>
      </c>
      <c r="F80" s="158">
        <f>materiaux!L99</f>
        <v>4</v>
      </c>
      <c r="G80" s="48">
        <v>0</v>
      </c>
      <c r="H80" s="49">
        <f>G80*F80</f>
        <v>0</v>
      </c>
      <c r="I80" s="73"/>
      <c r="J80" s="152"/>
      <c r="K80" s="146"/>
      <c r="L80" s="146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64"/>
      <c r="AB80" s="37"/>
    </row>
    <row r="81" spans="1:28" ht="14.25" customHeight="1">
      <c r="A81" s="190"/>
      <c r="B81" s="111"/>
      <c r="C81" s="87"/>
      <c r="D81" s="47" t="str">
        <f>materiaux!M93</f>
        <v>Eau</v>
      </c>
      <c r="E81" s="47" t="s">
        <v>139</v>
      </c>
      <c r="F81" s="158">
        <f>materiaux!M99</f>
        <v>2</v>
      </c>
      <c r="G81" s="48">
        <v>0</v>
      </c>
      <c r="H81" s="49">
        <f>G81*F81</f>
        <v>0</v>
      </c>
      <c r="I81" s="73"/>
      <c r="J81" s="152"/>
      <c r="K81" s="146"/>
      <c r="L81" s="146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64"/>
      <c r="AB81" s="37"/>
    </row>
    <row r="82" spans="1:28" ht="14.25" customHeight="1">
      <c r="A82" s="190"/>
      <c r="B82" s="111" t="s">
        <v>158</v>
      </c>
      <c r="C82" s="87"/>
      <c r="D82" s="47" t="s">
        <v>141</v>
      </c>
      <c r="E82" s="47" t="s">
        <v>142</v>
      </c>
      <c r="F82" s="158">
        <v>0.5</v>
      </c>
      <c r="G82" s="48">
        <v>0</v>
      </c>
      <c r="H82" s="49">
        <f>G82*F82</f>
        <v>0</v>
      </c>
      <c r="I82" s="73"/>
      <c r="J82" s="152"/>
      <c r="K82" s="146"/>
      <c r="L82" s="146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64"/>
      <c r="AB82" s="37"/>
    </row>
    <row r="83" spans="1:28" ht="12.75" customHeight="1">
      <c r="A83" s="190"/>
      <c r="B83" s="44"/>
      <c r="C83" s="76"/>
      <c r="D83" s="44"/>
      <c r="E83" s="44"/>
      <c r="F83" s="57"/>
      <c r="G83" s="61"/>
      <c r="H83" s="61"/>
      <c r="I83" s="73"/>
      <c r="J83" s="87"/>
      <c r="K83" s="81"/>
      <c r="L83" s="81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64"/>
      <c r="AB83" s="37"/>
    </row>
    <row r="84" spans="1:28" ht="14.25" customHeight="1">
      <c r="A84" s="190"/>
      <c r="B84" s="111" t="s">
        <v>159</v>
      </c>
      <c r="C84" s="87" t="s">
        <v>152</v>
      </c>
      <c r="D84" s="47" t="s">
        <v>144</v>
      </c>
      <c r="E84" s="47" t="s">
        <v>145</v>
      </c>
      <c r="F84" s="158">
        <f>fer!I23+fer!I27+fer!I31+fer!I32+fer!I39</f>
        <v>20.888888888888893</v>
      </c>
      <c r="G84" s="48">
        <v>0</v>
      </c>
      <c r="H84" s="49">
        <f>G84*F84</f>
        <v>0</v>
      </c>
      <c r="I84" s="73"/>
      <c r="J84" s="152"/>
      <c r="K84" s="146"/>
      <c r="L84" s="146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64"/>
      <c r="AB84" s="37"/>
    </row>
    <row r="85" spans="1:28" ht="14.25" customHeight="1">
      <c r="A85" s="190"/>
      <c r="B85" s="111"/>
      <c r="C85" s="87"/>
      <c r="D85" s="47" t="s">
        <v>147</v>
      </c>
      <c r="E85" s="47" t="s">
        <v>145</v>
      </c>
      <c r="F85" s="158">
        <f>fer!J24+fer!J28</f>
        <v>26.774999999999999</v>
      </c>
      <c r="G85" s="48">
        <v>0</v>
      </c>
      <c r="H85" s="49">
        <f>G85*F85</f>
        <v>0</v>
      </c>
      <c r="I85" s="73"/>
      <c r="J85" s="152"/>
      <c r="K85" s="146"/>
      <c r="L85" s="146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64"/>
      <c r="AB85" s="37"/>
    </row>
    <row r="86" spans="1:28" ht="14.25" customHeight="1">
      <c r="A86" s="190"/>
      <c r="B86" s="111"/>
      <c r="C86" s="87"/>
      <c r="D86" s="47" t="s">
        <v>148</v>
      </c>
      <c r="E86" s="47" t="s">
        <v>149</v>
      </c>
      <c r="F86" s="158">
        <f>materiaux!M138</f>
        <v>9</v>
      </c>
      <c r="G86" s="48">
        <v>0</v>
      </c>
      <c r="H86" s="49">
        <f>G86*F86</f>
        <v>0</v>
      </c>
      <c r="I86" s="73"/>
      <c r="J86" s="152"/>
      <c r="K86" s="146"/>
      <c r="L86" s="146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64"/>
      <c r="AB86" s="37"/>
    </row>
    <row r="87" spans="1:28" ht="14.25" customHeight="1">
      <c r="A87" s="190"/>
      <c r="B87" s="111" t="s">
        <v>140</v>
      </c>
      <c r="C87" s="87"/>
      <c r="D87" s="47" t="s">
        <v>141</v>
      </c>
      <c r="E87" s="47" t="s">
        <v>142</v>
      </c>
      <c r="F87" s="158">
        <v>1</v>
      </c>
      <c r="G87" s="48">
        <v>0</v>
      </c>
      <c r="H87" s="49">
        <f>G87*F87</f>
        <v>0</v>
      </c>
      <c r="I87" s="73"/>
      <c r="J87" s="152"/>
      <c r="K87" s="146"/>
      <c r="L87" s="146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64"/>
      <c r="AB87" s="37"/>
    </row>
    <row r="88" spans="1:28" ht="12.75" customHeight="1">
      <c r="A88" s="190"/>
      <c r="B88" s="44"/>
      <c r="C88" s="76"/>
      <c r="D88" s="44"/>
      <c r="E88" s="44"/>
      <c r="F88" s="57"/>
      <c r="G88" s="61"/>
      <c r="H88" s="61"/>
      <c r="I88" s="73"/>
      <c r="J88" s="87"/>
      <c r="K88" s="81"/>
      <c r="L88" s="81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64"/>
      <c r="AB88" s="37"/>
    </row>
    <row r="89" spans="1:28" ht="14.25" customHeight="1">
      <c r="A89" s="190"/>
      <c r="B89" s="111" t="s">
        <v>140</v>
      </c>
      <c r="C89" s="87" t="s">
        <v>160</v>
      </c>
      <c r="D89" s="47" t="s">
        <v>141</v>
      </c>
      <c r="E89" s="47" t="s">
        <v>142</v>
      </c>
      <c r="F89" s="158">
        <v>1</v>
      </c>
      <c r="G89" s="48">
        <v>0</v>
      </c>
      <c r="H89" s="49">
        <f>G89*F89</f>
        <v>0</v>
      </c>
      <c r="I89" s="73"/>
      <c r="J89" s="152"/>
      <c r="K89" s="146"/>
      <c r="L89" s="146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64"/>
      <c r="AB89" s="37"/>
    </row>
    <row r="90" spans="1:28" ht="12.75" customHeight="1">
      <c r="A90" s="190"/>
      <c r="B90" s="44"/>
      <c r="C90" s="76"/>
      <c r="D90" s="44"/>
      <c r="E90" s="44"/>
      <c r="F90" s="57"/>
      <c r="G90" s="61"/>
      <c r="H90" s="61"/>
      <c r="I90" s="73"/>
      <c r="J90" s="87"/>
      <c r="K90" s="81"/>
      <c r="L90" s="81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64"/>
      <c r="AB90" s="37"/>
    </row>
    <row r="91" spans="1:28" ht="14.25" customHeight="1">
      <c r="A91" s="190"/>
      <c r="B91" s="111" t="str">
        <f>materiaux!A101</f>
        <v>Chainage et poutre haut</v>
      </c>
      <c r="C91" s="87" t="str">
        <f>materiaux!B101</f>
        <v>Béton dosé 300 kg/m3</v>
      </c>
      <c r="D91" s="47" t="str">
        <f>materiaux!J102</f>
        <v>sable</v>
      </c>
      <c r="E91" s="47" t="s">
        <v>64</v>
      </c>
      <c r="F91" s="158">
        <f>materiaux!J109</f>
        <v>29.744000000000003</v>
      </c>
      <c r="G91" s="48">
        <v>0</v>
      </c>
      <c r="H91" s="49">
        <f>G91*F91</f>
        <v>0</v>
      </c>
      <c r="I91" s="73"/>
      <c r="J91" s="152"/>
      <c r="K91" s="146"/>
      <c r="L91" s="146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64"/>
      <c r="AB91" s="37"/>
    </row>
    <row r="92" spans="1:28" ht="14.25" customHeight="1">
      <c r="A92" s="190"/>
      <c r="B92" s="111"/>
      <c r="C92" s="87"/>
      <c r="D92" s="47" t="str">
        <f>materiaux!K102</f>
        <v>gravier</v>
      </c>
      <c r="E92" s="47" t="s">
        <v>64</v>
      </c>
      <c r="F92" s="158">
        <f>materiaux!K109</f>
        <v>44.616000000000007</v>
      </c>
      <c r="G92" s="48">
        <v>0</v>
      </c>
      <c r="H92" s="49">
        <f>G92*F92</f>
        <v>0</v>
      </c>
      <c r="I92" s="73"/>
      <c r="J92" s="152"/>
      <c r="K92" s="146"/>
      <c r="L92" s="146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64"/>
      <c r="AB92" s="37"/>
    </row>
    <row r="93" spans="1:28" ht="14.25" customHeight="1">
      <c r="A93" s="190"/>
      <c r="B93" s="111"/>
      <c r="C93" s="87"/>
      <c r="D93" s="47" t="str">
        <f>materiaux!L102</f>
        <v>ciment</v>
      </c>
      <c r="E93" s="47" t="s">
        <v>65</v>
      </c>
      <c r="F93" s="158">
        <f>materiaux!L109</f>
        <v>9</v>
      </c>
      <c r="G93" s="48">
        <v>0</v>
      </c>
      <c r="H93" s="49">
        <f>G93*F93</f>
        <v>0</v>
      </c>
      <c r="I93" s="73"/>
      <c r="J93" s="152"/>
      <c r="K93" s="146"/>
      <c r="L93" s="146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64"/>
      <c r="AB93" s="37"/>
    </row>
    <row r="94" spans="1:28" ht="14.25" customHeight="1">
      <c r="A94" s="190"/>
      <c r="B94" s="111"/>
      <c r="C94" s="87"/>
      <c r="D94" s="47" t="str">
        <f>materiaux!M102</f>
        <v>Eau</v>
      </c>
      <c r="E94" s="47" t="s">
        <v>139</v>
      </c>
      <c r="F94" s="158">
        <f>materiaux!M109</f>
        <v>5</v>
      </c>
      <c r="G94" s="48">
        <v>0</v>
      </c>
      <c r="H94" s="49">
        <f>G94*F94</f>
        <v>0</v>
      </c>
      <c r="I94" s="73"/>
      <c r="J94" s="152"/>
      <c r="K94" s="146"/>
      <c r="L94" s="146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64"/>
      <c r="AB94" s="37"/>
    </row>
    <row r="95" spans="1:28" ht="14.25" customHeight="1">
      <c r="A95" s="190"/>
      <c r="B95" s="111" t="s">
        <v>158</v>
      </c>
      <c r="C95" s="87"/>
      <c r="D95" s="47" t="s">
        <v>141</v>
      </c>
      <c r="E95" s="47" t="s">
        <v>142</v>
      </c>
      <c r="F95" s="158">
        <v>1</v>
      </c>
      <c r="G95" s="48">
        <v>0</v>
      </c>
      <c r="H95" s="49">
        <f>G95*F95</f>
        <v>0</v>
      </c>
      <c r="I95" s="73"/>
      <c r="J95" s="152"/>
      <c r="K95" s="146"/>
      <c r="L95" s="146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64"/>
      <c r="AB95" s="37"/>
    </row>
    <row r="96" spans="1:28" ht="12.75" customHeight="1">
      <c r="A96" s="190"/>
      <c r="B96" s="112"/>
      <c r="C96" s="40"/>
      <c r="D96" s="40"/>
      <c r="E96" s="40"/>
      <c r="F96" s="60"/>
      <c r="G96" s="43"/>
      <c r="H96" s="42"/>
      <c r="I96" s="73"/>
      <c r="J96" s="152"/>
      <c r="K96" s="146"/>
      <c r="L96" s="146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64"/>
      <c r="AB96" s="37"/>
    </row>
    <row r="97" spans="1:28" ht="12.75" customHeight="1">
      <c r="A97" s="190"/>
      <c r="B97" s="44"/>
      <c r="C97" s="76" t="s">
        <v>137</v>
      </c>
      <c r="D97" s="44"/>
      <c r="E97" s="44"/>
      <c r="F97" s="57"/>
      <c r="G97" s="61"/>
      <c r="H97" s="61">
        <f>SUM(H45:H96)</f>
        <v>0</v>
      </c>
      <c r="I97" s="73"/>
      <c r="J97" s="87"/>
      <c r="K97" s="81"/>
      <c r="L97" s="81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64"/>
      <c r="AB97" s="37"/>
    </row>
    <row r="98" spans="1:28" ht="12" customHeight="1">
      <c r="A98" s="190"/>
      <c r="B98" s="115"/>
      <c r="C98" s="110"/>
      <c r="D98" s="110"/>
      <c r="E98" s="110"/>
      <c r="F98" s="110"/>
      <c r="G98" s="110"/>
      <c r="H98" s="110"/>
      <c r="I98" s="73"/>
      <c r="J98" s="143"/>
      <c r="K98" s="143"/>
      <c r="L98" s="143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64"/>
      <c r="AB98" s="37"/>
    </row>
    <row r="99" spans="1:28" s="114" customFormat="1" ht="12.75" customHeight="1">
      <c r="A99" s="50"/>
      <c r="B99" s="50"/>
      <c r="C99" s="50"/>
      <c r="D99" s="50"/>
      <c r="E99" s="50"/>
      <c r="F99" s="113"/>
      <c r="I99" s="73"/>
    </row>
    <row r="100" spans="1:28" ht="14.25" customHeight="1">
      <c r="A100" s="193" t="s">
        <v>161</v>
      </c>
      <c r="B100" s="86" t="s">
        <v>162</v>
      </c>
      <c r="C100" s="87"/>
      <c r="D100" s="47" t="s">
        <v>144</v>
      </c>
      <c r="E100" s="47" t="s">
        <v>145</v>
      </c>
      <c r="F100" s="158">
        <f>fer!H49+fer!H50</f>
        <v>47.688888888888897</v>
      </c>
      <c r="G100" s="48">
        <v>0</v>
      </c>
      <c r="H100" s="49">
        <f t="shared" ref="H100:H110" si="1">G100*F100</f>
        <v>0</v>
      </c>
      <c r="I100" s="73"/>
      <c r="J100" s="152"/>
      <c r="K100" s="146"/>
      <c r="L100" s="146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64"/>
      <c r="AB100" s="37"/>
    </row>
    <row r="101" spans="1:28" ht="14.25" customHeight="1">
      <c r="A101" s="194"/>
      <c r="B101" s="86"/>
      <c r="C101" s="87"/>
      <c r="D101" s="47" t="s">
        <v>148</v>
      </c>
      <c r="E101" s="47" t="s">
        <v>149</v>
      </c>
      <c r="F101" s="158">
        <f>fer!L51</f>
        <v>9.1833333333333336</v>
      </c>
      <c r="G101" s="48">
        <v>0</v>
      </c>
      <c r="H101" s="49">
        <f t="shared" si="1"/>
        <v>0</v>
      </c>
      <c r="I101" s="73"/>
      <c r="J101" s="152"/>
      <c r="K101" s="146"/>
      <c r="L101" s="146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64"/>
      <c r="AB101" s="37"/>
    </row>
    <row r="102" spans="1:28" ht="14.25" customHeight="1">
      <c r="A102" s="194"/>
      <c r="B102" s="86" t="s">
        <v>140</v>
      </c>
      <c r="C102" s="87"/>
      <c r="D102" s="47" t="s">
        <v>141</v>
      </c>
      <c r="E102" s="47" t="s">
        <v>142</v>
      </c>
      <c r="F102" s="158">
        <v>1</v>
      </c>
      <c r="G102" s="48">
        <v>0</v>
      </c>
      <c r="H102" s="49">
        <f t="shared" si="1"/>
        <v>0</v>
      </c>
      <c r="I102" s="73"/>
      <c r="J102" s="152"/>
      <c r="K102" s="146"/>
      <c r="L102" s="146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64"/>
      <c r="AB102" s="37"/>
    </row>
    <row r="103" spans="1:28" ht="12.75" customHeight="1">
      <c r="A103" s="194"/>
      <c r="B103" s="44"/>
      <c r="C103" s="76"/>
      <c r="D103" s="44"/>
      <c r="E103" s="44"/>
      <c r="F103" s="57"/>
      <c r="G103" s="61"/>
      <c r="H103" s="61"/>
      <c r="I103" s="73"/>
      <c r="J103" s="87"/>
      <c r="K103" s="81"/>
      <c r="L103" s="81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64"/>
      <c r="AB103" s="37"/>
    </row>
    <row r="104" spans="1:28" ht="14.25" customHeight="1">
      <c r="A104" s="194"/>
      <c r="B104" s="86" t="s">
        <v>140</v>
      </c>
      <c r="C104" s="87" t="s">
        <v>163</v>
      </c>
      <c r="D104" s="47" t="s">
        <v>141</v>
      </c>
      <c r="E104" s="47" t="s">
        <v>142</v>
      </c>
      <c r="F104" s="157">
        <v>1.5</v>
      </c>
      <c r="G104" s="48">
        <v>0</v>
      </c>
      <c r="H104" s="49">
        <f>G104*F104</f>
        <v>0</v>
      </c>
      <c r="I104" s="73"/>
      <c r="J104" s="152"/>
      <c r="K104" s="146"/>
      <c r="L104" s="146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64"/>
      <c r="AB104" s="37"/>
    </row>
    <row r="105" spans="1:28" ht="12.75" customHeight="1">
      <c r="A105" s="194"/>
      <c r="B105" s="44"/>
      <c r="C105" s="76"/>
      <c r="D105" s="44"/>
      <c r="E105" s="44"/>
      <c r="F105" s="57"/>
      <c r="G105" s="61"/>
      <c r="H105" s="61"/>
      <c r="I105" s="73"/>
      <c r="J105" s="87"/>
      <c r="K105" s="81"/>
      <c r="L105" s="81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64"/>
      <c r="AB105" s="37"/>
    </row>
    <row r="106" spans="1:28" ht="14.25" customHeight="1">
      <c r="A106" s="194"/>
      <c r="B106" s="86" t="str">
        <f>materiaux!A111</f>
        <v>Dalle</v>
      </c>
      <c r="C106" s="87" t="str">
        <f>materiaux!B111</f>
        <v>Béton dosé 450 kg/m3</v>
      </c>
      <c r="D106" s="47" t="str">
        <f>materiaux!J112</f>
        <v>sable</v>
      </c>
      <c r="E106" s="47" t="s">
        <v>64</v>
      </c>
      <c r="F106" s="158">
        <f>materiaux!J118</f>
        <v>138.99600000000001</v>
      </c>
      <c r="G106" s="48">
        <v>0</v>
      </c>
      <c r="H106" s="49">
        <f t="shared" si="1"/>
        <v>0</v>
      </c>
      <c r="I106" s="73"/>
      <c r="J106" s="152"/>
      <c r="K106" s="146"/>
      <c r="L106" s="146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64"/>
      <c r="AB106" s="37"/>
    </row>
    <row r="107" spans="1:28" ht="14.25" customHeight="1">
      <c r="A107" s="194"/>
      <c r="B107" s="86"/>
      <c r="C107" s="79"/>
      <c r="D107" s="47" t="str">
        <f>materiaux!K112</f>
        <v>gravier</v>
      </c>
      <c r="E107" s="47" t="s">
        <v>64</v>
      </c>
      <c r="F107" s="158">
        <f>materiaux!K118</f>
        <v>208.494</v>
      </c>
      <c r="G107" s="48">
        <v>0</v>
      </c>
      <c r="H107" s="49">
        <f t="shared" si="1"/>
        <v>0</v>
      </c>
      <c r="I107" s="73"/>
      <c r="J107" s="152"/>
      <c r="K107" s="146"/>
      <c r="L107" s="146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64"/>
      <c r="AB107" s="37"/>
    </row>
    <row r="108" spans="1:28" ht="14.25" customHeight="1">
      <c r="A108" s="194"/>
      <c r="B108" s="86"/>
      <c r="C108" s="87"/>
      <c r="D108" s="47" t="str">
        <f>materiaux!L112</f>
        <v>ciment</v>
      </c>
      <c r="E108" s="47" t="s">
        <v>65</v>
      </c>
      <c r="F108" s="158">
        <f>materiaux!L118</f>
        <v>58</v>
      </c>
      <c r="G108" s="48">
        <v>0</v>
      </c>
      <c r="H108" s="49">
        <f t="shared" si="1"/>
        <v>0</v>
      </c>
      <c r="I108" s="73"/>
      <c r="J108" s="152"/>
      <c r="K108" s="146"/>
      <c r="L108" s="146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64"/>
      <c r="AB108" s="37"/>
    </row>
    <row r="109" spans="1:28" ht="14.25" customHeight="1">
      <c r="A109" s="194"/>
      <c r="B109" s="86"/>
      <c r="C109" s="87"/>
      <c r="D109" s="47" t="str">
        <f>materiaux!M112</f>
        <v>Eau</v>
      </c>
      <c r="E109" s="47" t="s">
        <v>139</v>
      </c>
      <c r="F109" s="158">
        <f>materiaux!M118</f>
        <v>29</v>
      </c>
      <c r="G109" s="48">
        <v>0</v>
      </c>
      <c r="H109" s="49">
        <f t="shared" si="1"/>
        <v>0</v>
      </c>
      <c r="I109" s="73"/>
      <c r="J109" s="152"/>
      <c r="K109" s="146"/>
      <c r="L109" s="146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64"/>
      <c r="AB109" s="37"/>
    </row>
    <row r="110" spans="1:28" ht="14.25" customHeight="1">
      <c r="A110" s="194"/>
      <c r="B110" s="86" t="s">
        <v>140</v>
      </c>
      <c r="C110" s="87"/>
      <c r="D110" s="47" t="s">
        <v>141</v>
      </c>
      <c r="E110" s="47" t="s">
        <v>142</v>
      </c>
      <c r="F110" s="158">
        <v>1</v>
      </c>
      <c r="G110" s="48">
        <v>0</v>
      </c>
      <c r="H110" s="49">
        <f t="shared" si="1"/>
        <v>0</v>
      </c>
      <c r="I110" s="73"/>
      <c r="J110" s="152"/>
      <c r="K110" s="146"/>
      <c r="L110" s="146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64"/>
      <c r="AB110" s="37"/>
    </row>
    <row r="111" spans="1:28" ht="12.75" customHeight="1">
      <c r="A111" s="194"/>
      <c r="B111" s="44"/>
      <c r="C111" s="76"/>
      <c r="D111" s="44"/>
      <c r="E111" s="44"/>
      <c r="F111" s="57"/>
      <c r="G111" s="61"/>
      <c r="H111" s="61"/>
      <c r="I111" s="73"/>
      <c r="J111" s="87"/>
      <c r="K111" s="81"/>
      <c r="L111" s="81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64"/>
      <c r="AB111" s="37"/>
    </row>
    <row r="112" spans="1:28" ht="14.25" customHeight="1">
      <c r="A112" s="194"/>
      <c r="B112" s="86" t="s">
        <v>156</v>
      </c>
      <c r="C112" s="87" t="s">
        <v>164</v>
      </c>
      <c r="D112" s="47" t="s">
        <v>141</v>
      </c>
      <c r="E112" s="47" t="s">
        <v>142</v>
      </c>
      <c r="F112" s="158">
        <v>1</v>
      </c>
      <c r="G112" s="48">
        <v>0</v>
      </c>
      <c r="H112" s="49">
        <f>G110*F112</f>
        <v>0</v>
      </c>
      <c r="I112" s="73"/>
      <c r="J112" s="152"/>
      <c r="K112" s="146"/>
      <c r="L112" s="146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64"/>
      <c r="AB112" s="37"/>
    </row>
    <row r="113" spans="1:28" ht="12.75" customHeight="1">
      <c r="A113" s="194"/>
      <c r="B113" s="86"/>
      <c r="C113" s="40"/>
      <c r="D113" s="40"/>
      <c r="E113" s="40"/>
      <c r="F113" s="60"/>
      <c r="G113" s="43"/>
      <c r="H113" s="42"/>
      <c r="I113" s="73"/>
      <c r="J113" s="152"/>
      <c r="K113" s="146"/>
      <c r="L113" s="146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64"/>
      <c r="AB113" s="37"/>
    </row>
    <row r="114" spans="1:28" ht="12.75" customHeight="1">
      <c r="A114" s="194"/>
      <c r="B114" s="44"/>
      <c r="C114" s="76" t="s">
        <v>137</v>
      </c>
      <c r="D114" s="44"/>
      <c r="E114" s="44"/>
      <c r="F114" s="57"/>
      <c r="G114" s="61"/>
      <c r="H114" s="61">
        <f>SUM(H100:H113)</f>
        <v>0</v>
      </c>
      <c r="I114" s="73"/>
      <c r="J114" s="87"/>
      <c r="K114" s="81"/>
      <c r="L114" s="81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64"/>
      <c r="AB114" s="37"/>
    </row>
    <row r="115" spans="1:28" ht="12" customHeight="1">
      <c r="A115" s="194"/>
      <c r="B115" s="86"/>
      <c r="C115" s="86"/>
      <c r="D115" s="86"/>
      <c r="E115" s="86"/>
      <c r="F115" s="86"/>
      <c r="G115" s="86"/>
      <c r="H115" s="86"/>
      <c r="I115" s="73"/>
      <c r="J115" s="144"/>
      <c r="K115" s="144"/>
      <c r="L115" s="144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64"/>
      <c r="AB115" s="37"/>
    </row>
    <row r="116" spans="1:28" s="50" customFormat="1" ht="12" customHeight="1">
      <c r="A116" s="147"/>
      <c r="B116" s="144"/>
      <c r="C116" s="144"/>
      <c r="D116" s="144"/>
      <c r="E116" s="144"/>
      <c r="F116" s="144"/>
      <c r="G116" s="144"/>
      <c r="H116" s="144"/>
      <c r="I116" s="73"/>
      <c r="J116" s="144"/>
      <c r="K116" s="144"/>
      <c r="L116" s="144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4"/>
      <c r="AB116" s="73"/>
    </row>
    <row r="117" spans="1:28" ht="14.25" customHeight="1">
      <c r="A117" s="191" t="s">
        <v>165</v>
      </c>
      <c r="B117" s="116" t="str">
        <f>materiaux!A120</f>
        <v>Crépis toute surface interieure</v>
      </c>
      <c r="C117" s="87" t="str">
        <f>materiaux!B120</f>
        <v xml:space="preserve"> mortier 450kg/m3
</v>
      </c>
      <c r="D117" s="47" t="str">
        <f>materiaux!J121</f>
        <v>sable</v>
      </c>
      <c r="E117" s="47" t="s">
        <v>64</v>
      </c>
      <c r="F117" s="158">
        <f>materiaux!J128</f>
        <v>95.684160000000006</v>
      </c>
      <c r="G117" s="48">
        <v>0</v>
      </c>
      <c r="H117" s="49">
        <f>G117*F117</f>
        <v>0</v>
      </c>
      <c r="I117" s="73"/>
      <c r="J117" s="152"/>
      <c r="K117" s="146"/>
      <c r="L117" s="146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64"/>
      <c r="AB117" s="37"/>
    </row>
    <row r="118" spans="1:28" ht="12.75" customHeight="1">
      <c r="A118" s="192"/>
      <c r="B118" s="116"/>
      <c r="C118" s="87"/>
      <c r="D118" s="47" t="str">
        <f>materiaux!L121</f>
        <v>ciment</v>
      </c>
      <c r="E118" s="47" t="s">
        <v>65</v>
      </c>
      <c r="F118" s="158">
        <f>materiaux!L128</f>
        <v>18</v>
      </c>
      <c r="G118" s="48">
        <v>0</v>
      </c>
      <c r="H118" s="49">
        <f>G118*F118</f>
        <v>0</v>
      </c>
      <c r="I118" s="73"/>
      <c r="J118" s="152"/>
      <c r="K118" s="146"/>
      <c r="L118" s="146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64"/>
      <c r="AB118" s="37"/>
    </row>
    <row r="119" spans="1:28" ht="12.75" customHeight="1">
      <c r="A119" s="192"/>
      <c r="B119" s="116"/>
      <c r="C119" s="87"/>
      <c r="D119" s="47" t="str">
        <f>materiaux!M121</f>
        <v>Eau</v>
      </c>
      <c r="E119" s="47" t="s">
        <v>139</v>
      </c>
      <c r="F119" s="158">
        <f>materiaux!M128</f>
        <v>9</v>
      </c>
      <c r="G119" s="48">
        <v>0</v>
      </c>
      <c r="H119" s="49">
        <f>G119*F119</f>
        <v>0</v>
      </c>
      <c r="I119" s="73"/>
      <c r="J119" s="152"/>
      <c r="K119" s="146"/>
      <c r="L119" s="146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64"/>
      <c r="AB119" s="37"/>
    </row>
    <row r="120" spans="1:28" ht="14.25" customHeight="1">
      <c r="A120" s="192"/>
      <c r="B120" s="116" t="s">
        <v>140</v>
      </c>
      <c r="C120" s="87"/>
      <c r="D120" s="47" t="s">
        <v>141</v>
      </c>
      <c r="E120" s="47" t="s">
        <v>142</v>
      </c>
      <c r="F120" s="158">
        <v>4</v>
      </c>
      <c r="G120" s="48">
        <v>0</v>
      </c>
      <c r="H120" s="49">
        <f>G120*F120</f>
        <v>0</v>
      </c>
      <c r="I120" s="73"/>
      <c r="J120" s="152"/>
      <c r="K120" s="146"/>
      <c r="L120" s="146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64"/>
      <c r="AB120" s="37"/>
    </row>
    <row r="121" spans="1:28" ht="12.75" customHeight="1">
      <c r="A121" s="192"/>
      <c r="B121" s="44"/>
      <c r="C121" s="76"/>
      <c r="D121" s="44"/>
      <c r="E121" s="44"/>
      <c r="F121" s="57"/>
      <c r="G121" s="61"/>
      <c r="H121" s="61"/>
      <c r="I121" s="73"/>
      <c r="J121" s="87"/>
      <c r="K121" s="81"/>
      <c r="L121" s="81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64"/>
      <c r="AB121" s="37"/>
    </row>
    <row r="122" spans="1:28" ht="14.25" customHeight="1">
      <c r="A122" s="192"/>
      <c r="B122" s="116" t="str">
        <f>materiaux!A130</f>
        <v>Crépis toute surface exterieur</v>
      </c>
      <c r="C122" s="87" t="str">
        <f>materiaux!B130</f>
        <v xml:space="preserve">Crépis mortier 450kg/m3
</v>
      </c>
      <c r="D122" s="47" t="str">
        <f>materiaux!J131</f>
        <v>sable</v>
      </c>
      <c r="E122" s="47" t="s">
        <v>64</v>
      </c>
      <c r="F122" s="158">
        <f>materiaux!J138</f>
        <v>87.927840000000003</v>
      </c>
      <c r="G122" s="48">
        <v>0</v>
      </c>
      <c r="H122" s="49">
        <f>G122*F122</f>
        <v>0</v>
      </c>
      <c r="I122" s="73"/>
      <c r="J122" s="152"/>
      <c r="K122" s="146"/>
      <c r="L122" s="146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64"/>
      <c r="AB122" s="37"/>
    </row>
    <row r="123" spans="1:28" ht="14.25" customHeight="1">
      <c r="A123" s="192"/>
      <c r="B123" s="116"/>
      <c r="C123" s="87"/>
      <c r="D123" s="47" t="str">
        <f>materiaux!L131</f>
        <v>ciment</v>
      </c>
      <c r="E123" s="47" t="s">
        <v>65</v>
      </c>
      <c r="F123" s="158">
        <f>materiaux!L138</f>
        <v>17</v>
      </c>
      <c r="G123" s="48">
        <v>0</v>
      </c>
      <c r="H123" s="49">
        <f>G123*F123</f>
        <v>0</v>
      </c>
      <c r="I123" s="73"/>
      <c r="J123" s="152"/>
      <c r="K123" s="146"/>
      <c r="L123" s="146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64"/>
      <c r="AB123" s="37"/>
    </row>
    <row r="124" spans="1:28" ht="14.25" customHeight="1">
      <c r="A124" s="192"/>
      <c r="B124" s="116"/>
      <c r="C124" s="87"/>
      <c r="D124" s="47" t="str">
        <f>materiaux!M131</f>
        <v>Eau</v>
      </c>
      <c r="E124" s="47" t="s">
        <v>139</v>
      </c>
      <c r="F124" s="158">
        <f>materiaux!M138</f>
        <v>9</v>
      </c>
      <c r="G124" s="48">
        <v>0</v>
      </c>
      <c r="H124" s="49">
        <f>G124*F124</f>
        <v>0</v>
      </c>
      <c r="I124" s="73"/>
      <c r="J124" s="152"/>
      <c r="K124" s="146"/>
      <c r="L124" s="146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64"/>
      <c r="AB124" s="37"/>
    </row>
    <row r="125" spans="1:28" ht="14.25" customHeight="1">
      <c r="A125" s="192"/>
      <c r="B125" s="116" t="s">
        <v>158</v>
      </c>
      <c r="C125" s="87"/>
      <c r="D125" s="47" t="s">
        <v>141</v>
      </c>
      <c r="E125" s="47" t="s">
        <v>142</v>
      </c>
      <c r="F125" s="158">
        <v>3</v>
      </c>
      <c r="G125" s="48">
        <v>0</v>
      </c>
      <c r="H125" s="49">
        <f>G125*F125</f>
        <v>0</v>
      </c>
      <c r="I125" s="73"/>
      <c r="J125" s="152"/>
      <c r="K125" s="146"/>
      <c r="L125" s="146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64"/>
      <c r="AB125" s="37"/>
    </row>
    <row r="126" spans="1:28" ht="14.25" customHeight="1">
      <c r="A126" s="192"/>
      <c r="B126" s="116"/>
      <c r="C126" s="87"/>
      <c r="D126" s="87"/>
      <c r="E126" s="87"/>
      <c r="F126" s="87"/>
      <c r="G126" s="87"/>
      <c r="H126" s="87"/>
      <c r="I126" s="73"/>
      <c r="J126" s="152"/>
      <c r="K126" s="146"/>
      <c r="L126" s="146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64"/>
      <c r="AB126" s="37"/>
    </row>
    <row r="127" spans="1:28" ht="12.75" customHeight="1">
      <c r="A127" s="192"/>
      <c r="B127" s="44"/>
      <c r="C127" s="76"/>
      <c r="D127" s="44"/>
      <c r="E127" s="44"/>
      <c r="F127" s="57"/>
      <c r="G127" s="61"/>
      <c r="H127" s="61">
        <f>SUM(H117:H126)</f>
        <v>0</v>
      </c>
      <c r="I127" s="73"/>
      <c r="J127" s="87"/>
      <c r="K127" s="81"/>
      <c r="L127" s="81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64"/>
      <c r="AB127" s="37"/>
    </row>
    <row r="128" spans="1:28" s="50" customFormat="1" ht="12.75" customHeight="1">
      <c r="A128" s="116"/>
      <c r="B128" s="116"/>
      <c r="C128" s="116"/>
      <c r="D128" s="116"/>
      <c r="E128" s="116"/>
      <c r="F128" s="116"/>
      <c r="G128" s="116"/>
      <c r="H128" s="116"/>
      <c r="I128" s="73"/>
      <c r="J128" s="152"/>
      <c r="K128" s="146"/>
      <c r="L128" s="146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4"/>
      <c r="AB128" s="73"/>
    </row>
    <row r="129" spans="1:28" s="50" customFormat="1" ht="12.75" customHeight="1">
      <c r="A129" s="143"/>
      <c r="B129" s="144"/>
      <c r="C129" s="87"/>
      <c r="F129" s="145"/>
      <c r="G129" s="80"/>
      <c r="H129" s="77"/>
      <c r="I129" s="73"/>
      <c r="J129" s="152"/>
      <c r="K129" s="146"/>
      <c r="L129" s="146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4"/>
      <c r="AB129" s="73"/>
    </row>
    <row r="130" spans="1:28" ht="14.25" customHeight="1">
      <c r="A130" s="148" t="s">
        <v>166</v>
      </c>
      <c r="B130" s="148" t="s">
        <v>167</v>
      </c>
      <c r="C130" s="170" t="s">
        <v>168</v>
      </c>
      <c r="D130" s="47" t="s">
        <v>169</v>
      </c>
      <c r="E130" s="47" t="s">
        <v>122</v>
      </c>
      <c r="F130" s="158">
        <v>10</v>
      </c>
      <c r="G130" s="48">
        <v>0</v>
      </c>
      <c r="H130" s="49">
        <f t="shared" ref="H130:H141" si="2">G130*F130</f>
        <v>0</v>
      </c>
      <c r="I130" s="73"/>
      <c r="J130" s="152"/>
      <c r="K130" s="146"/>
      <c r="L130" s="146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64"/>
      <c r="AB130" s="37"/>
    </row>
    <row r="131" spans="1:28" ht="14.25" customHeight="1">
      <c r="A131" s="148"/>
      <c r="B131" s="148" t="s">
        <v>168</v>
      </c>
      <c r="C131" s="170"/>
      <c r="D131" s="47" t="s">
        <v>170</v>
      </c>
      <c r="E131" s="47" t="s">
        <v>122</v>
      </c>
      <c r="F131" s="158">
        <v>1</v>
      </c>
      <c r="G131" s="48">
        <v>0</v>
      </c>
      <c r="H131" s="49">
        <f t="shared" si="2"/>
        <v>0</v>
      </c>
      <c r="I131" s="73"/>
      <c r="J131" s="152"/>
      <c r="K131" s="146"/>
      <c r="L131" s="146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64"/>
      <c r="AB131" s="37"/>
    </row>
    <row r="132" spans="1:28" ht="15" customHeight="1">
      <c r="A132" s="148"/>
      <c r="B132" s="148"/>
      <c r="C132" s="170"/>
      <c r="D132" s="47" t="s">
        <v>171</v>
      </c>
      <c r="E132" s="47" t="s">
        <v>122</v>
      </c>
      <c r="F132" s="158">
        <v>2</v>
      </c>
      <c r="G132" s="48">
        <v>0</v>
      </c>
      <c r="H132" s="49">
        <f t="shared" si="2"/>
        <v>0</v>
      </c>
      <c r="I132" s="152"/>
      <c r="J132" s="152"/>
      <c r="K132" s="146"/>
      <c r="L132" s="146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64"/>
      <c r="AB132" s="37"/>
    </row>
    <row r="133" spans="1:28" ht="15" customHeight="1">
      <c r="A133" s="148"/>
      <c r="B133" s="148"/>
      <c r="C133" s="170"/>
      <c r="D133" s="47" t="s">
        <v>172</v>
      </c>
      <c r="E133" s="47" t="s">
        <v>122</v>
      </c>
      <c r="F133" s="158">
        <v>3</v>
      </c>
      <c r="G133" s="48">
        <v>0</v>
      </c>
      <c r="H133" s="49">
        <f t="shared" si="2"/>
        <v>0</v>
      </c>
      <c r="I133" s="152"/>
      <c r="J133" s="152"/>
      <c r="K133" s="146"/>
      <c r="L133" s="146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64"/>
      <c r="AB133" s="37"/>
    </row>
    <row r="134" spans="1:28" ht="15" customHeight="1">
      <c r="A134" s="148"/>
      <c r="B134" s="148"/>
      <c r="C134" s="170"/>
      <c r="D134" s="47" t="s">
        <v>173</v>
      </c>
      <c r="E134" s="47" t="s">
        <v>122</v>
      </c>
      <c r="F134" s="158">
        <v>3</v>
      </c>
      <c r="G134" s="48">
        <v>0</v>
      </c>
      <c r="H134" s="49">
        <f>G134*F134</f>
        <v>0</v>
      </c>
      <c r="I134" s="152"/>
      <c r="J134" s="152"/>
      <c r="K134" s="146"/>
      <c r="L134" s="146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64"/>
      <c r="AB134" s="37"/>
    </row>
    <row r="135" spans="1:28" ht="15" customHeight="1">
      <c r="A135" s="148"/>
      <c r="B135" s="148"/>
      <c r="C135" s="170"/>
      <c r="D135" s="47" t="s">
        <v>174</v>
      </c>
      <c r="E135" s="47" t="s">
        <v>122</v>
      </c>
      <c r="F135" s="158">
        <v>1</v>
      </c>
      <c r="G135" s="48">
        <v>0</v>
      </c>
      <c r="H135" s="49">
        <f t="shared" si="2"/>
        <v>0</v>
      </c>
      <c r="I135" s="152"/>
      <c r="J135" s="152"/>
      <c r="K135" s="146"/>
      <c r="L135" s="146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64"/>
      <c r="AB135" s="37"/>
    </row>
    <row r="136" spans="1:28" ht="15" customHeight="1">
      <c r="A136" s="148"/>
      <c r="B136" s="148"/>
      <c r="C136" s="170"/>
      <c r="D136" s="47" t="s">
        <v>175</v>
      </c>
      <c r="E136" s="47" t="s">
        <v>122</v>
      </c>
      <c r="F136" s="158">
        <v>1</v>
      </c>
      <c r="G136" s="48">
        <v>0</v>
      </c>
      <c r="H136" s="49">
        <f t="shared" si="2"/>
        <v>0</v>
      </c>
      <c r="I136" s="152"/>
      <c r="J136" s="152"/>
      <c r="K136" s="146"/>
      <c r="L136" s="146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64"/>
      <c r="AB136" s="37"/>
    </row>
    <row r="137" spans="1:28" ht="14.25" customHeight="1">
      <c r="A137" s="148"/>
      <c r="B137" s="148"/>
      <c r="C137" s="170"/>
      <c r="D137" s="47" t="s">
        <v>176</v>
      </c>
      <c r="E137" s="47" t="s">
        <v>122</v>
      </c>
      <c r="F137" s="158">
        <v>2</v>
      </c>
      <c r="G137" s="48">
        <v>0</v>
      </c>
      <c r="H137" s="49">
        <f>G137*F137</f>
        <v>0</v>
      </c>
      <c r="I137" s="152"/>
      <c r="J137" s="152"/>
      <c r="K137" s="146"/>
      <c r="L137" s="146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64"/>
      <c r="AB137" s="37"/>
    </row>
    <row r="138" spans="1:28" ht="14.25" customHeight="1">
      <c r="A138" s="148"/>
      <c r="B138" s="148"/>
      <c r="C138" s="170"/>
      <c r="D138" s="47" t="s">
        <v>177</v>
      </c>
      <c r="E138" s="47" t="s">
        <v>122</v>
      </c>
      <c r="F138" s="158">
        <v>4</v>
      </c>
      <c r="G138" s="48">
        <v>0</v>
      </c>
      <c r="H138" s="49">
        <f t="shared" si="2"/>
        <v>0</v>
      </c>
      <c r="I138" s="152"/>
      <c r="J138" s="152"/>
      <c r="K138" s="146"/>
      <c r="L138" s="146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64"/>
      <c r="AB138" s="37"/>
    </row>
    <row r="139" spans="1:28" ht="14.25" customHeight="1">
      <c r="A139" s="148"/>
      <c r="B139" s="148"/>
      <c r="C139" s="170"/>
      <c r="D139" s="47" t="s">
        <v>178</v>
      </c>
      <c r="E139" s="47" t="s">
        <v>122</v>
      </c>
      <c r="F139" s="158">
        <v>2</v>
      </c>
      <c r="G139" s="48">
        <v>0</v>
      </c>
      <c r="H139" s="49">
        <f t="shared" si="2"/>
        <v>0</v>
      </c>
      <c r="I139" s="152"/>
      <c r="J139" s="152"/>
      <c r="K139" s="146"/>
      <c r="L139" s="146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64"/>
      <c r="AB139" s="37"/>
    </row>
    <row r="140" spans="1:28" ht="14.25" customHeight="1">
      <c r="A140" s="148"/>
      <c r="B140" s="148"/>
      <c r="C140" s="170"/>
      <c r="D140" s="47" t="s">
        <v>179</v>
      </c>
      <c r="E140" s="47" t="s">
        <v>180</v>
      </c>
      <c r="F140" s="158">
        <v>1</v>
      </c>
      <c r="G140" s="48">
        <v>0</v>
      </c>
      <c r="H140" s="49">
        <f t="shared" si="2"/>
        <v>0</v>
      </c>
      <c r="I140" s="152"/>
      <c r="J140" s="152"/>
      <c r="K140" s="146"/>
      <c r="L140" s="146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64"/>
      <c r="AB140" s="37"/>
    </row>
    <row r="141" spans="1:28" ht="15">
      <c r="A141" s="148"/>
      <c r="B141" s="148" t="s">
        <v>140</v>
      </c>
      <c r="C141" s="170"/>
      <c r="D141" s="47" t="s">
        <v>181</v>
      </c>
      <c r="E141" s="47" t="s">
        <v>142</v>
      </c>
      <c r="F141" s="158">
        <v>2</v>
      </c>
      <c r="G141" s="48">
        <v>0</v>
      </c>
      <c r="H141" s="49">
        <f t="shared" si="2"/>
        <v>0</v>
      </c>
      <c r="I141" s="152"/>
      <c r="J141" s="152"/>
      <c r="K141" s="146"/>
      <c r="L141" s="146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64"/>
      <c r="AB141" s="37"/>
    </row>
    <row r="142" spans="1:28" ht="14.25" customHeight="1">
      <c r="A142" s="148"/>
      <c r="B142" s="148"/>
      <c r="C142" s="76"/>
      <c r="D142" s="44"/>
      <c r="E142" s="44"/>
      <c r="F142" s="57"/>
      <c r="G142" s="46"/>
      <c r="H142" s="61"/>
      <c r="I142" s="87"/>
      <c r="J142" s="87"/>
      <c r="K142" s="81"/>
      <c r="L142" s="81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64"/>
      <c r="AB142" s="37"/>
    </row>
    <row r="143" spans="1:28" ht="12.75" customHeight="1">
      <c r="A143" s="148"/>
      <c r="B143" s="148" t="s">
        <v>182</v>
      </c>
      <c r="C143" s="170" t="s">
        <v>183</v>
      </c>
      <c r="D143" s="47" t="str">
        <f>materiaux!J141</f>
        <v>sable</v>
      </c>
      <c r="E143" s="47" t="s">
        <v>64</v>
      </c>
      <c r="F143" s="158">
        <f>materiaux!J155+materiaux!J147</f>
        <v>42.900000000000006</v>
      </c>
      <c r="G143" s="48">
        <v>0</v>
      </c>
      <c r="H143" s="49">
        <f t="shared" ref="H143:H148" si="3">G143*F143</f>
        <v>0</v>
      </c>
      <c r="I143" s="152"/>
      <c r="J143" s="152"/>
      <c r="K143" s="146"/>
      <c r="L143" s="146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64"/>
      <c r="AB143" s="37"/>
    </row>
    <row r="144" spans="1:28" ht="12.75" customHeight="1">
      <c r="A144" s="148"/>
      <c r="B144" s="148"/>
      <c r="C144" s="170"/>
      <c r="D144" s="47" t="str">
        <f>materiaux!K141</f>
        <v>gravier</v>
      </c>
      <c r="E144" s="47" t="s">
        <v>64</v>
      </c>
      <c r="F144" s="158">
        <f>materiaux!K147+materiaux!K155</f>
        <v>64.350000000000009</v>
      </c>
      <c r="G144" s="48">
        <v>0</v>
      </c>
      <c r="H144" s="49">
        <f t="shared" si="3"/>
        <v>0</v>
      </c>
      <c r="I144" s="152"/>
      <c r="J144" s="152"/>
      <c r="K144" s="146"/>
      <c r="L144" s="146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64"/>
      <c r="AB144" s="37"/>
    </row>
    <row r="145" spans="1:28" ht="14.25" customHeight="1">
      <c r="A145" s="148"/>
      <c r="B145" s="148"/>
      <c r="C145" s="170"/>
      <c r="D145" s="47" t="str">
        <f>materiaux!L149</f>
        <v>ciment</v>
      </c>
      <c r="E145" s="47" t="s">
        <v>65</v>
      </c>
      <c r="F145" s="158">
        <f>materiaux!L147+materiaux!L155</f>
        <v>15</v>
      </c>
      <c r="G145" s="48">
        <v>0</v>
      </c>
      <c r="H145" s="49">
        <f t="shared" si="3"/>
        <v>0</v>
      </c>
      <c r="I145" s="152"/>
      <c r="J145" s="152"/>
      <c r="K145" s="146"/>
      <c r="L145" s="146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64"/>
      <c r="AB145" s="37"/>
    </row>
    <row r="146" spans="1:28" ht="14.25" customHeight="1">
      <c r="A146" s="148"/>
      <c r="B146" s="148"/>
      <c r="C146" s="170"/>
      <c r="D146" s="47" t="str">
        <f>materiaux!M141</f>
        <v>Eau</v>
      </c>
      <c r="E146" s="47" t="s">
        <v>139</v>
      </c>
      <c r="F146" s="158">
        <f>materiaux!M147+materiaux!M155</f>
        <v>8</v>
      </c>
      <c r="G146" s="48">
        <v>0</v>
      </c>
      <c r="H146" s="49">
        <f t="shared" si="3"/>
        <v>0</v>
      </c>
      <c r="I146" s="152"/>
      <c r="J146" s="152"/>
      <c r="K146" s="146"/>
      <c r="L146" s="146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64"/>
      <c r="AB146" s="37"/>
    </row>
    <row r="147" spans="1:28" ht="12.75" customHeight="1">
      <c r="A147" s="148"/>
      <c r="B147" s="148"/>
      <c r="C147" s="170"/>
      <c r="D147" s="47" t="s">
        <v>100</v>
      </c>
      <c r="E147" s="47" t="s">
        <v>122</v>
      </c>
      <c r="F147" s="158">
        <v>30</v>
      </c>
      <c r="G147" s="48">
        <v>0</v>
      </c>
      <c r="H147" s="49">
        <f t="shared" si="3"/>
        <v>0</v>
      </c>
      <c r="I147" s="152"/>
      <c r="J147" s="152"/>
      <c r="K147" s="146"/>
      <c r="L147" s="146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64"/>
      <c r="AB147" s="37"/>
    </row>
    <row r="148" spans="1:28" ht="12.75" customHeight="1">
      <c r="A148" s="148"/>
      <c r="B148" s="148" t="s">
        <v>140</v>
      </c>
      <c r="C148" s="170"/>
      <c r="D148" s="47" t="s">
        <v>141</v>
      </c>
      <c r="E148" s="47" t="s">
        <v>142</v>
      </c>
      <c r="F148" s="158">
        <v>3</v>
      </c>
      <c r="G148" s="48">
        <v>0</v>
      </c>
      <c r="H148" s="49">
        <f t="shared" si="3"/>
        <v>0</v>
      </c>
      <c r="I148" s="152"/>
      <c r="J148" s="152"/>
      <c r="K148" s="146"/>
      <c r="L148" s="146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64"/>
      <c r="AB148" s="37"/>
    </row>
    <row r="149" spans="1:28" ht="12.75" customHeight="1">
      <c r="A149" s="148"/>
      <c r="B149" s="148"/>
      <c r="C149" s="170"/>
      <c r="D149" s="170"/>
      <c r="E149" s="170"/>
      <c r="F149" s="170"/>
      <c r="G149" s="170"/>
      <c r="H149" s="170"/>
      <c r="I149" s="152"/>
      <c r="J149" s="152"/>
      <c r="K149" s="146"/>
      <c r="L149" s="146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64"/>
      <c r="AB149" s="37"/>
    </row>
    <row r="150" spans="1:28" ht="12.75" customHeight="1">
      <c r="A150" s="148"/>
      <c r="B150" s="148"/>
      <c r="C150" s="76" t="s">
        <v>184</v>
      </c>
      <c r="D150" s="44"/>
      <c r="E150" s="44"/>
      <c r="F150" s="57"/>
      <c r="G150" s="61"/>
      <c r="H150" s="61">
        <f>SUM(H130:H148)</f>
        <v>0</v>
      </c>
      <c r="I150" s="87"/>
      <c r="J150" s="87"/>
      <c r="K150" s="81"/>
      <c r="L150" s="81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64"/>
      <c r="AB150" s="37"/>
    </row>
    <row r="151" spans="1:28" ht="18" customHeight="1">
      <c r="A151" s="148"/>
      <c r="B151" s="148"/>
      <c r="C151" s="148"/>
      <c r="D151" s="148"/>
      <c r="E151" s="148"/>
      <c r="F151" s="148"/>
      <c r="G151" s="148"/>
      <c r="H151" s="148"/>
      <c r="I151" s="77"/>
      <c r="J151" s="152"/>
      <c r="K151" s="146"/>
      <c r="L151" s="146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64"/>
      <c r="AB151" s="37"/>
    </row>
    <row r="152" spans="1:28" ht="18" customHeight="1">
      <c r="A152" s="40"/>
      <c r="B152" s="144"/>
      <c r="C152" s="40"/>
      <c r="D152" s="40"/>
      <c r="E152" s="40"/>
      <c r="F152" s="60"/>
      <c r="G152" s="43"/>
      <c r="H152" s="42"/>
      <c r="I152" s="77"/>
      <c r="J152" s="152"/>
      <c r="K152" s="146"/>
      <c r="L152" s="146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64"/>
      <c r="AB152" s="37"/>
    </row>
    <row r="153" spans="1:28" ht="15">
      <c r="A153" s="54"/>
      <c r="B153" s="54" t="s">
        <v>185</v>
      </c>
      <c r="C153" s="51"/>
      <c r="D153" s="51"/>
      <c r="E153" s="51"/>
      <c r="F153" s="59"/>
      <c r="G153" s="52"/>
      <c r="H153" s="62">
        <f>H150+H127+H114+H97+H42+H9</f>
        <v>0</v>
      </c>
      <c r="I153" s="70"/>
      <c r="J153" s="70"/>
      <c r="K153" s="70"/>
      <c r="L153" s="70"/>
      <c r="P153" s="37"/>
      <c r="Q153" s="37"/>
      <c r="R153" s="37"/>
      <c r="U153" s="37"/>
      <c r="V153" s="37"/>
      <c r="Z153" s="37"/>
      <c r="AA153" s="64"/>
      <c r="AB153" s="37"/>
    </row>
    <row r="154" spans="1:28" ht="18" customHeight="1">
      <c r="B154" s="45"/>
      <c r="C154" s="40"/>
      <c r="D154" s="40"/>
      <c r="E154" s="40"/>
      <c r="F154" s="60"/>
      <c r="G154" s="43"/>
      <c r="H154" s="42"/>
      <c r="I154" s="77"/>
      <c r="J154" s="152"/>
      <c r="K154" s="146"/>
      <c r="L154" s="146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64"/>
      <c r="AB154" s="37"/>
    </row>
    <row r="155" spans="1:28" ht="12.75" customHeight="1">
      <c r="B155" s="196" t="s">
        <v>186</v>
      </c>
      <c r="C155" s="184"/>
      <c r="D155" s="124" t="s">
        <v>187</v>
      </c>
      <c r="E155" s="124" t="s">
        <v>188</v>
      </c>
      <c r="F155" s="164">
        <v>3</v>
      </c>
      <c r="G155" s="125">
        <v>0</v>
      </c>
      <c r="H155" s="156">
        <f t="shared" ref="H155:H172" si="4">G155*F155</f>
        <v>0</v>
      </c>
      <c r="I155" s="152"/>
      <c r="J155" s="152"/>
      <c r="K155" s="146"/>
      <c r="L155" s="146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64"/>
      <c r="AB155" s="37"/>
    </row>
    <row r="156" spans="1:28" ht="12.75" customHeight="1">
      <c r="B156" s="196"/>
      <c r="C156" s="184"/>
      <c r="D156" s="124" t="s">
        <v>189</v>
      </c>
      <c r="E156" s="124" t="s">
        <v>190</v>
      </c>
      <c r="F156" s="164">
        <v>3</v>
      </c>
      <c r="G156" s="126">
        <v>0</v>
      </c>
      <c r="H156" s="156">
        <f t="shared" si="4"/>
        <v>0</v>
      </c>
      <c r="I156" s="152"/>
      <c r="J156" s="152"/>
      <c r="K156" s="146"/>
      <c r="L156" s="146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64"/>
      <c r="AB156" s="37"/>
    </row>
    <row r="157" spans="1:28" ht="12.75" customHeight="1">
      <c r="B157" s="196"/>
      <c r="C157" s="184"/>
      <c r="D157" s="124" t="s">
        <v>191</v>
      </c>
      <c r="E157" s="124" t="s">
        <v>190</v>
      </c>
      <c r="F157" s="164">
        <v>4</v>
      </c>
      <c r="G157" s="125">
        <v>0</v>
      </c>
      <c r="H157" s="156">
        <f t="shared" si="4"/>
        <v>0</v>
      </c>
      <c r="I157" s="152"/>
      <c r="J157" s="152"/>
      <c r="K157" s="146"/>
      <c r="L157" s="146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64"/>
      <c r="AB157" s="37"/>
    </row>
    <row r="158" spans="1:28" ht="12.75" customHeight="1">
      <c r="B158" s="196"/>
      <c r="C158" s="184"/>
      <c r="D158" s="124" t="s">
        <v>192</v>
      </c>
      <c r="E158" s="124" t="s">
        <v>192</v>
      </c>
      <c r="F158" s="164">
        <v>30</v>
      </c>
      <c r="G158" s="125">
        <v>0</v>
      </c>
      <c r="H158" s="156">
        <f>G158*F158</f>
        <v>0</v>
      </c>
      <c r="I158" s="152"/>
      <c r="J158" s="152"/>
      <c r="K158" s="146"/>
      <c r="L158" s="146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64"/>
      <c r="AB158" s="37"/>
    </row>
    <row r="159" spans="1:28" ht="12.75" customHeight="1">
      <c r="B159" s="196"/>
      <c r="C159" s="184"/>
      <c r="D159" s="124" t="s">
        <v>193</v>
      </c>
      <c r="E159" s="124" t="s">
        <v>193</v>
      </c>
      <c r="F159" s="164">
        <v>10</v>
      </c>
      <c r="G159" s="125">
        <v>0</v>
      </c>
      <c r="H159" s="156">
        <f t="shared" si="4"/>
        <v>0</v>
      </c>
      <c r="I159" s="152"/>
      <c r="J159" s="152"/>
      <c r="K159" s="146"/>
      <c r="L159" s="146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64"/>
      <c r="AB159" s="37"/>
    </row>
    <row r="160" spans="1:28" ht="12.75" customHeight="1">
      <c r="B160" s="196"/>
      <c r="C160" s="184"/>
      <c r="D160" s="124" t="s">
        <v>194</v>
      </c>
      <c r="E160" s="124" t="s">
        <v>195</v>
      </c>
      <c r="F160" s="164">
        <v>2</v>
      </c>
      <c r="G160" s="126">
        <v>0</v>
      </c>
      <c r="H160" s="156">
        <f t="shared" si="4"/>
        <v>0</v>
      </c>
      <c r="I160" s="152"/>
      <c r="J160" s="152"/>
      <c r="K160" s="146"/>
      <c r="L160" s="146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64"/>
      <c r="AB160" s="37"/>
    </row>
    <row r="161" spans="2:28" ht="12.75" customHeight="1">
      <c r="B161" s="196"/>
      <c r="C161" s="184"/>
      <c r="D161" s="124" t="s">
        <v>196</v>
      </c>
      <c r="E161" s="124" t="s">
        <v>149</v>
      </c>
      <c r="F161" s="164">
        <v>20</v>
      </c>
      <c r="G161" s="125">
        <v>0</v>
      </c>
      <c r="H161" s="156">
        <f t="shared" si="4"/>
        <v>0</v>
      </c>
      <c r="I161" s="152"/>
      <c r="J161" s="152"/>
      <c r="K161" s="146"/>
      <c r="L161" s="146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64"/>
      <c r="AB161" s="37"/>
    </row>
    <row r="162" spans="2:28" ht="12.75" customHeight="1">
      <c r="B162" s="196"/>
      <c r="C162" s="184"/>
      <c r="D162" s="124" t="s">
        <v>197</v>
      </c>
      <c r="E162" s="124" t="s">
        <v>122</v>
      </c>
      <c r="F162" s="164">
        <v>12</v>
      </c>
      <c r="G162" s="125">
        <v>0</v>
      </c>
      <c r="H162" s="156">
        <f t="shared" si="4"/>
        <v>0</v>
      </c>
      <c r="I162" s="152"/>
      <c r="J162" s="152"/>
      <c r="K162" s="146"/>
      <c r="L162" s="146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64"/>
      <c r="AB162" s="37"/>
    </row>
    <row r="163" spans="2:28" ht="12.75" customHeight="1">
      <c r="B163" s="196"/>
      <c r="C163" s="184"/>
      <c r="D163" s="124" t="s">
        <v>198</v>
      </c>
      <c r="E163" s="124" t="s">
        <v>199</v>
      </c>
      <c r="F163" s="164">
        <v>40</v>
      </c>
      <c r="G163" s="125">
        <v>0</v>
      </c>
      <c r="H163" s="156">
        <f t="shared" si="4"/>
        <v>0</v>
      </c>
      <c r="I163" s="152"/>
      <c r="J163" s="152"/>
      <c r="K163" s="146"/>
      <c r="L163" s="146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64"/>
      <c r="AB163" s="37"/>
    </row>
    <row r="164" spans="2:28" ht="12.75" customHeight="1">
      <c r="B164" s="196"/>
      <c r="C164" s="184"/>
      <c r="D164" s="124" t="s">
        <v>200</v>
      </c>
      <c r="E164" s="124" t="s">
        <v>199</v>
      </c>
      <c r="F164" s="164">
        <v>24</v>
      </c>
      <c r="G164" s="125">
        <v>0</v>
      </c>
      <c r="H164" s="156">
        <f t="shared" si="4"/>
        <v>0</v>
      </c>
      <c r="I164" s="152"/>
      <c r="J164" s="152"/>
      <c r="K164" s="146"/>
      <c r="L164" s="146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64"/>
      <c r="AB164" s="37"/>
    </row>
    <row r="165" spans="2:28" ht="18" customHeight="1">
      <c r="B165" s="196"/>
      <c r="C165" s="184"/>
      <c r="D165" s="124" t="s">
        <v>201</v>
      </c>
      <c r="E165" s="124" t="s">
        <v>199</v>
      </c>
      <c r="F165" s="164">
        <v>32</v>
      </c>
      <c r="G165" s="126">
        <v>0</v>
      </c>
      <c r="H165" s="156">
        <f t="shared" si="4"/>
        <v>0</v>
      </c>
      <c r="I165" s="152"/>
      <c r="J165" s="152"/>
      <c r="K165" s="146"/>
      <c r="L165" s="146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64"/>
      <c r="AB165" s="37"/>
    </row>
    <row r="166" spans="2:28" ht="18" customHeight="1">
      <c r="B166" s="196"/>
      <c r="C166" s="184"/>
      <c r="D166" s="124" t="s">
        <v>202</v>
      </c>
      <c r="E166" s="124" t="s">
        <v>122</v>
      </c>
      <c r="F166" s="164">
        <v>12</v>
      </c>
      <c r="G166" s="126">
        <v>0</v>
      </c>
      <c r="H166" s="156">
        <f t="shared" si="4"/>
        <v>0</v>
      </c>
      <c r="I166" s="152"/>
      <c r="J166" s="152"/>
      <c r="K166" s="146"/>
      <c r="L166" s="146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64"/>
      <c r="AB166" s="37"/>
    </row>
    <row r="167" spans="2:28" ht="18.75" customHeight="1">
      <c r="B167" s="196"/>
      <c r="C167" s="184"/>
      <c r="D167" s="124" t="s">
        <v>203</v>
      </c>
      <c r="E167" s="124" t="s">
        <v>190</v>
      </c>
      <c r="F167" s="164">
        <v>10</v>
      </c>
      <c r="G167" s="125">
        <v>0</v>
      </c>
      <c r="H167" s="156">
        <f t="shared" si="4"/>
        <v>0</v>
      </c>
      <c r="I167" s="152"/>
      <c r="J167" s="152"/>
      <c r="K167" s="146"/>
      <c r="L167" s="146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64"/>
      <c r="AB167" s="37"/>
    </row>
    <row r="168" spans="2:28" ht="12.75" customHeight="1">
      <c r="B168" s="197"/>
      <c r="C168" s="185"/>
      <c r="D168" s="124" t="s">
        <v>204</v>
      </c>
      <c r="E168" s="124" t="s">
        <v>190</v>
      </c>
      <c r="F168" s="164">
        <v>1</v>
      </c>
      <c r="G168" s="126">
        <v>0</v>
      </c>
      <c r="H168" s="156">
        <f t="shared" si="4"/>
        <v>0</v>
      </c>
      <c r="I168" s="152"/>
      <c r="J168" s="152"/>
      <c r="K168" s="146"/>
      <c r="L168" s="146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64"/>
      <c r="AB168" s="37"/>
    </row>
    <row r="169" spans="2:28" ht="12.75" customHeight="1">
      <c r="B169" s="197"/>
      <c r="C169" s="185"/>
      <c r="D169" s="124" t="s">
        <v>205</v>
      </c>
      <c r="E169" s="124" t="s">
        <v>190</v>
      </c>
      <c r="F169" s="164">
        <v>6</v>
      </c>
      <c r="G169" s="126">
        <v>0</v>
      </c>
      <c r="H169" s="156">
        <f t="shared" si="4"/>
        <v>0</v>
      </c>
      <c r="I169" s="152"/>
      <c r="J169" s="152"/>
      <c r="K169" s="146"/>
      <c r="L169" s="146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64"/>
      <c r="AB169" s="37"/>
    </row>
    <row r="170" spans="2:28" ht="12.75" customHeight="1">
      <c r="B170" s="197"/>
      <c r="C170" s="185"/>
      <c r="D170" s="124" t="s">
        <v>206</v>
      </c>
      <c r="E170" s="124" t="s">
        <v>190</v>
      </c>
      <c r="F170" s="164">
        <v>3</v>
      </c>
      <c r="G170" s="126">
        <v>0</v>
      </c>
      <c r="H170" s="156">
        <f t="shared" si="4"/>
        <v>0</v>
      </c>
      <c r="I170" s="152"/>
      <c r="J170" s="152"/>
      <c r="K170" s="146"/>
      <c r="L170" s="146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64"/>
      <c r="AB170" s="37"/>
    </row>
    <row r="171" spans="2:28" ht="12.75" customHeight="1">
      <c r="B171" s="197"/>
      <c r="C171" s="185"/>
      <c r="D171" s="124" t="s">
        <v>207</v>
      </c>
      <c r="E171" s="124" t="s">
        <v>190</v>
      </c>
      <c r="F171" s="164">
        <v>2</v>
      </c>
      <c r="G171" s="126">
        <v>0</v>
      </c>
      <c r="H171" s="156">
        <f t="shared" si="4"/>
        <v>0</v>
      </c>
      <c r="I171" s="152"/>
      <c r="J171" s="152"/>
      <c r="K171" s="146"/>
      <c r="L171" s="146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64"/>
      <c r="AB171" s="37"/>
    </row>
    <row r="172" spans="2:28" ht="18.75" customHeight="1">
      <c r="B172" s="197"/>
      <c r="C172" s="185"/>
      <c r="D172" s="124" t="s">
        <v>208</v>
      </c>
      <c r="E172" s="124" t="s">
        <v>190</v>
      </c>
      <c r="F172" s="164">
        <v>10</v>
      </c>
      <c r="G172" s="126">
        <v>0</v>
      </c>
      <c r="H172" s="156">
        <f t="shared" si="4"/>
        <v>0</v>
      </c>
      <c r="I172" s="152"/>
      <c r="J172" s="152"/>
      <c r="K172" s="146"/>
      <c r="L172" s="146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64"/>
      <c r="AB172" s="37"/>
    </row>
    <row r="173" spans="2:28" ht="18" customHeight="1">
      <c r="B173" s="45"/>
      <c r="C173" s="40"/>
      <c r="D173" s="40"/>
      <c r="E173" s="40"/>
      <c r="F173" s="60"/>
      <c r="G173" s="43"/>
      <c r="H173" s="42"/>
      <c r="I173" s="77"/>
      <c r="J173" s="152"/>
      <c r="K173" s="146"/>
      <c r="L173" s="146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64"/>
      <c r="AB173" s="37"/>
    </row>
    <row r="174" spans="2:28">
      <c r="B174" s="44" t="s">
        <v>209</v>
      </c>
      <c r="C174" s="44"/>
      <c r="D174" s="44"/>
      <c r="E174" s="44"/>
      <c r="F174" s="57"/>
      <c r="G174" s="46"/>
      <c r="H174" s="61">
        <f>SUM(H155:H172)</f>
        <v>0</v>
      </c>
      <c r="I174" s="87"/>
      <c r="J174" s="80"/>
      <c r="K174" s="81"/>
      <c r="L174" s="81"/>
      <c r="M174" s="37"/>
      <c r="N174" s="37"/>
      <c r="O174" s="37"/>
      <c r="P174" s="37"/>
      <c r="Q174" s="37"/>
      <c r="R174" s="37"/>
      <c r="U174" s="37"/>
      <c r="V174" s="37"/>
      <c r="Z174" s="37"/>
      <c r="AA174" s="64"/>
      <c r="AB174" s="37"/>
    </row>
    <row r="175" spans="2:28" ht="18">
      <c r="B175" s="45"/>
      <c r="C175" s="40"/>
      <c r="D175" s="40"/>
      <c r="E175" s="40"/>
      <c r="F175" s="60"/>
      <c r="G175" s="43"/>
      <c r="H175" s="42"/>
      <c r="I175" s="77"/>
      <c r="J175" s="152"/>
      <c r="K175" s="146"/>
      <c r="L175" s="146"/>
      <c r="P175" s="37"/>
      <c r="R175" s="37"/>
      <c r="U175" s="37"/>
      <c r="V175" s="37"/>
      <c r="Z175" s="37"/>
      <c r="AA175" s="64"/>
      <c r="AB175" s="37"/>
    </row>
    <row r="176" spans="2:28" ht="15">
      <c r="B176" s="54" t="s">
        <v>185</v>
      </c>
      <c r="C176" s="51"/>
      <c r="D176" s="51"/>
      <c r="E176" s="51"/>
      <c r="F176" s="59"/>
      <c r="G176" s="52"/>
      <c r="H176" s="127">
        <f>H174+H153</f>
        <v>0</v>
      </c>
      <c r="I176" s="150"/>
      <c r="J176" s="150"/>
      <c r="K176" s="71"/>
      <c r="L176" s="71"/>
      <c r="P176" s="37"/>
      <c r="Q176" s="37"/>
      <c r="R176" s="37"/>
      <c r="U176" s="37"/>
      <c r="V176" s="37"/>
      <c r="Z176" s="37"/>
      <c r="AA176" s="64"/>
      <c r="AB176" s="37"/>
    </row>
    <row r="177" spans="2:30" s="50" customFormat="1" ht="15">
      <c r="B177" s="67"/>
      <c r="C177" s="53"/>
      <c r="D177" s="53"/>
      <c r="E177" s="53"/>
      <c r="F177" s="68"/>
      <c r="G177" s="69"/>
      <c r="H177" s="70"/>
      <c r="I177" s="70"/>
      <c r="J177" s="70"/>
      <c r="K177" s="71"/>
      <c r="L177" s="71"/>
      <c r="M177" s="72"/>
      <c r="N177" s="72"/>
      <c r="O177" s="72"/>
      <c r="P177" s="72"/>
      <c r="Q177" s="73"/>
      <c r="R177" s="73"/>
      <c r="S177" s="73"/>
      <c r="V177" s="73"/>
      <c r="W177" s="73"/>
      <c r="AA177" s="73"/>
      <c r="AB177" s="74"/>
      <c r="AC177" s="73"/>
    </row>
    <row r="178" spans="2:30" s="50" customFormat="1" ht="22.5">
      <c r="C178" s="129"/>
      <c r="D178" s="129"/>
      <c r="E178" s="53"/>
      <c r="F178" s="68"/>
      <c r="G178" s="69"/>
      <c r="H178" s="70"/>
      <c r="I178" s="70"/>
      <c r="J178" s="70"/>
      <c r="K178" s="71"/>
      <c r="L178" s="71"/>
      <c r="M178" s="183"/>
      <c r="N178" s="183"/>
      <c r="O178" s="183"/>
      <c r="P178" s="183"/>
      <c r="Q178" s="183"/>
      <c r="R178" s="183"/>
      <c r="S178" s="73"/>
      <c r="V178" s="73"/>
      <c r="W178" s="73"/>
      <c r="AA178" s="73"/>
      <c r="AB178" s="74"/>
      <c r="AC178" s="73"/>
    </row>
    <row r="179" spans="2:30" ht="15.75" customHeight="1">
      <c r="B179" s="128" t="s">
        <v>210</v>
      </c>
      <c r="C179" s="41"/>
      <c r="D179" s="41"/>
      <c r="E179" s="41"/>
      <c r="F179" s="130"/>
      <c r="G179" s="41"/>
      <c r="H179" s="41"/>
      <c r="I179" s="78"/>
      <c r="J179" s="78"/>
      <c r="K179" s="81"/>
      <c r="L179" s="81"/>
      <c r="M179" s="183"/>
      <c r="N179" s="183"/>
      <c r="O179" s="183"/>
      <c r="P179" s="183"/>
      <c r="Q179" s="183"/>
      <c r="R179" s="183"/>
      <c r="S179" s="37"/>
      <c r="T179" s="37"/>
      <c r="U179" s="37"/>
      <c r="V179" s="37"/>
      <c r="W179" s="37"/>
      <c r="AA179" s="37" t="s">
        <v>211</v>
      </c>
      <c r="AB179" s="64"/>
      <c r="AC179" s="37"/>
    </row>
    <row r="180" spans="2:30" ht="12.75" customHeight="1">
      <c r="B180" s="186" t="s">
        <v>212</v>
      </c>
      <c r="C180" s="131">
        <v>1</v>
      </c>
      <c r="D180" s="132" t="s">
        <v>73</v>
      </c>
      <c r="E180" s="132" t="s">
        <v>67</v>
      </c>
      <c r="F180" s="162">
        <f>F33</f>
        <v>3</v>
      </c>
      <c r="G180" s="133">
        <v>0</v>
      </c>
      <c r="H180" s="133">
        <f>G180*F180</f>
        <v>0</v>
      </c>
      <c r="I180" s="155"/>
      <c r="J180" s="80"/>
      <c r="K180" s="146"/>
      <c r="L180" s="146"/>
      <c r="M180" s="183"/>
      <c r="N180" s="183"/>
      <c r="O180" s="183"/>
      <c r="P180" s="183"/>
      <c r="Q180" s="183"/>
      <c r="R180" s="183"/>
      <c r="S180" s="37"/>
      <c r="T180" s="37"/>
      <c r="U180" s="37"/>
      <c r="V180" s="37"/>
      <c r="W180" s="37"/>
      <c r="AA180" s="31"/>
      <c r="AB180" s="37"/>
      <c r="AC180" s="135">
        <v>46</v>
      </c>
      <c r="AD180" s="37"/>
    </row>
    <row r="181" spans="2:30" ht="12.75" customHeight="1">
      <c r="B181" s="187"/>
      <c r="C181" s="154">
        <f>C180+1</f>
        <v>2</v>
      </c>
      <c r="D181" s="132" t="s">
        <v>55</v>
      </c>
      <c r="E181" s="132" t="s">
        <v>64</v>
      </c>
      <c r="F181" s="162">
        <f>F107+F92+F79+F65+F53+F37+F25+F14+F144</f>
        <v>620.88</v>
      </c>
      <c r="G181" s="136">
        <v>0</v>
      </c>
      <c r="H181" s="133">
        <f>G181*F181</f>
        <v>0</v>
      </c>
      <c r="I181" s="56"/>
      <c r="J181" s="80"/>
      <c r="K181" s="146"/>
      <c r="L181" s="146"/>
      <c r="M181" s="183"/>
      <c r="N181" s="183"/>
      <c r="O181" s="183"/>
      <c r="P181" s="183"/>
      <c r="Q181" s="183"/>
      <c r="R181" s="183"/>
      <c r="S181" s="37"/>
      <c r="T181" s="37"/>
      <c r="U181" s="37"/>
      <c r="V181" s="37"/>
      <c r="W181" s="37"/>
      <c r="AA181" s="31"/>
      <c r="AB181" s="37"/>
      <c r="AC181" s="65">
        <v>268</v>
      </c>
      <c r="AD181" s="37"/>
    </row>
    <row r="182" spans="2:30" ht="12.75" customHeight="1">
      <c r="B182" s="187"/>
      <c r="C182" s="154">
        <f t="shared" ref="C182:C198" si="5">C181+1</f>
        <v>3</v>
      </c>
      <c r="D182" s="132" t="s">
        <v>54</v>
      </c>
      <c r="E182" s="132" t="s">
        <v>64</v>
      </c>
      <c r="F182" s="162">
        <f>F143+F122+F117+F106+F91+F78+F70+F64+F52+F36+F24+F13</f>
        <v>744.76480000000015</v>
      </c>
      <c r="G182" s="136">
        <v>0</v>
      </c>
      <c r="H182" s="133">
        <f>G182*F182</f>
        <v>0</v>
      </c>
      <c r="I182" s="56"/>
      <c r="J182" s="80"/>
      <c r="K182" s="146"/>
      <c r="L182" s="146"/>
      <c r="M182" s="183"/>
      <c r="N182" s="183"/>
      <c r="O182" s="183"/>
      <c r="P182" s="183"/>
      <c r="Q182" s="183"/>
      <c r="R182" s="183"/>
      <c r="S182" s="37"/>
      <c r="T182" s="37"/>
      <c r="U182" s="37"/>
      <c r="V182" s="37"/>
      <c r="W182" s="37"/>
      <c r="AA182" s="31"/>
      <c r="AB182" s="37"/>
      <c r="AC182" s="65">
        <v>1653</v>
      </c>
      <c r="AD182" s="37"/>
    </row>
    <row r="183" spans="2:30" ht="12.75" customHeight="1">
      <c r="B183" s="187"/>
      <c r="C183" s="154">
        <f t="shared" si="5"/>
        <v>4</v>
      </c>
      <c r="D183" s="132" t="s">
        <v>213</v>
      </c>
      <c r="E183" s="132" t="s">
        <v>139</v>
      </c>
      <c r="F183" s="161">
        <f>F146+F124+F119+F109+F94+F81+F72+F67+F55+F39+F32+F27+F16</f>
        <v>108</v>
      </c>
      <c r="G183" s="136">
        <v>0</v>
      </c>
      <c r="H183" s="133">
        <f>G183*F183</f>
        <v>0</v>
      </c>
      <c r="I183" s="155"/>
      <c r="J183" s="80"/>
      <c r="K183" s="146"/>
      <c r="L183" s="146"/>
      <c r="M183" s="183"/>
      <c r="N183" s="183"/>
      <c r="O183" s="183"/>
      <c r="P183" s="183"/>
      <c r="Q183" s="183"/>
      <c r="R183" s="183"/>
      <c r="S183" s="37"/>
      <c r="T183" s="37"/>
      <c r="U183" s="37"/>
      <c r="V183" s="37"/>
      <c r="W183" s="37"/>
      <c r="AA183" s="31"/>
      <c r="AB183" s="37"/>
      <c r="AC183" s="65">
        <v>94</v>
      </c>
      <c r="AD183" s="37"/>
    </row>
    <row r="184" spans="2:30" ht="22.5">
      <c r="B184" s="187"/>
      <c r="C184" s="154">
        <f t="shared" si="5"/>
        <v>5</v>
      </c>
      <c r="D184" s="132" t="s">
        <v>56</v>
      </c>
      <c r="E184" s="132" t="s">
        <v>65</v>
      </c>
      <c r="F184" s="161">
        <f>F66+F145+F123+F108+F93+F80+F71+F66+F54+F38+F31+F26+F15</f>
        <v>235</v>
      </c>
      <c r="G184" s="136">
        <v>0</v>
      </c>
      <c r="H184" s="133">
        <f>F184*G184</f>
        <v>0</v>
      </c>
      <c r="I184" s="155"/>
      <c r="J184" s="80"/>
      <c r="K184" s="146"/>
      <c r="L184" s="146"/>
      <c r="M184" s="183"/>
      <c r="N184" s="183"/>
      <c r="O184" s="183"/>
      <c r="P184" s="183"/>
      <c r="Q184" s="183"/>
      <c r="R184" s="183"/>
      <c r="S184" s="37"/>
      <c r="T184" s="37"/>
      <c r="U184" s="37"/>
      <c r="V184" s="37"/>
      <c r="W184" s="37"/>
      <c r="AA184" s="37" t="s">
        <v>214</v>
      </c>
      <c r="AB184" s="65">
        <v>324</v>
      </c>
      <c r="AC184" s="37"/>
    </row>
    <row r="185" spans="2:30" s="50" customFormat="1" ht="22.5">
      <c r="B185" s="187"/>
      <c r="C185" s="154">
        <f t="shared" si="5"/>
        <v>6</v>
      </c>
      <c r="D185" s="134" t="s">
        <v>144</v>
      </c>
      <c r="E185" s="134" t="s">
        <v>145</v>
      </c>
      <c r="F185" s="165">
        <f>F100+F84+F58+F45+F19</f>
        <v>151.57777777777778</v>
      </c>
      <c r="G185" s="133">
        <v>0</v>
      </c>
      <c r="H185" s="133">
        <f>F185*G185</f>
        <v>0</v>
      </c>
      <c r="I185" s="155"/>
      <c r="J185" s="80"/>
      <c r="K185" s="146"/>
      <c r="L185" s="146"/>
      <c r="M185" s="183"/>
      <c r="N185" s="183"/>
      <c r="O185" s="183"/>
      <c r="P185" s="183"/>
      <c r="Q185" s="183"/>
      <c r="R185" s="183"/>
      <c r="S185" s="73"/>
      <c r="T185" s="73"/>
      <c r="U185" s="73"/>
      <c r="V185" s="73"/>
      <c r="W185" s="73"/>
      <c r="AA185" s="73"/>
      <c r="AB185" s="137">
        <v>240</v>
      </c>
      <c r="AC185" s="73"/>
    </row>
    <row r="186" spans="2:30" s="50" customFormat="1" ht="12.75" customHeight="1">
      <c r="B186" s="187"/>
      <c r="C186" s="154">
        <f t="shared" si="5"/>
        <v>7</v>
      </c>
      <c r="D186" s="134" t="s">
        <v>215</v>
      </c>
      <c r="E186" s="134" t="s">
        <v>145</v>
      </c>
      <c r="F186" s="153">
        <f>F85+F46+F20</f>
        <v>81.599999999999994</v>
      </c>
      <c r="G186" s="133">
        <v>0</v>
      </c>
      <c r="H186" s="133">
        <f>F186*G186</f>
        <v>0</v>
      </c>
      <c r="I186" s="155"/>
      <c r="J186" s="80"/>
      <c r="K186" s="146"/>
      <c r="L186" s="146"/>
      <c r="M186" s="183"/>
      <c r="N186" s="183"/>
      <c r="O186" s="183"/>
      <c r="P186" s="183"/>
      <c r="Q186" s="183"/>
      <c r="R186" s="183"/>
      <c r="S186" s="73"/>
      <c r="T186" s="73"/>
      <c r="V186" s="73"/>
      <c r="W186" s="73"/>
      <c r="Z186" s="73" t="s">
        <v>216</v>
      </c>
      <c r="AA186" s="73"/>
      <c r="AB186" s="137">
        <v>389</v>
      </c>
      <c r="AC186" s="73"/>
    </row>
    <row r="187" spans="2:30" s="50" customFormat="1" ht="22.5">
      <c r="B187" s="187"/>
      <c r="C187" s="154">
        <f t="shared" si="5"/>
        <v>8</v>
      </c>
      <c r="D187" s="134" t="s">
        <v>217</v>
      </c>
      <c r="E187" s="134" t="s">
        <v>149</v>
      </c>
      <c r="F187" s="153">
        <f>F101+F86+F59+F47+F21</f>
        <v>45.052777777777784</v>
      </c>
      <c r="G187" s="133">
        <v>0</v>
      </c>
      <c r="H187" s="133">
        <f>F187*G187</f>
        <v>0</v>
      </c>
      <c r="I187" s="155"/>
      <c r="J187" s="80"/>
      <c r="K187" s="146"/>
      <c r="L187" s="146"/>
      <c r="M187" s="183"/>
      <c r="N187" s="183"/>
      <c r="O187" s="183"/>
      <c r="P187" s="183"/>
      <c r="Q187" s="183"/>
      <c r="R187" s="183"/>
      <c r="S187" s="73"/>
      <c r="T187" s="73"/>
      <c r="U187" s="73"/>
      <c r="V187" s="73"/>
      <c r="W187" s="73"/>
      <c r="AA187" s="73"/>
      <c r="AB187" s="137" t="s">
        <v>218</v>
      </c>
      <c r="AC187" s="73"/>
    </row>
    <row r="188" spans="2:30" s="50" customFormat="1" ht="22.5">
      <c r="B188" s="168"/>
      <c r="C188" s="154">
        <f t="shared" si="5"/>
        <v>9</v>
      </c>
      <c r="D188" s="134" t="s">
        <v>219</v>
      </c>
      <c r="E188" s="134"/>
      <c r="F188" s="138"/>
      <c r="G188" s="133">
        <v>0</v>
      </c>
      <c r="H188" s="133">
        <f>H174</f>
        <v>0</v>
      </c>
      <c r="I188" s="155"/>
      <c r="J188" s="80"/>
      <c r="K188" s="146"/>
      <c r="L188" s="146"/>
      <c r="M188" s="169"/>
      <c r="N188" s="169"/>
      <c r="O188" s="169"/>
      <c r="P188" s="169"/>
      <c r="Q188" s="169"/>
      <c r="R188" s="169"/>
      <c r="S188" s="73"/>
      <c r="T188" s="73"/>
      <c r="U188" s="73"/>
      <c r="V188" s="73"/>
      <c r="W188" s="73"/>
      <c r="AA188" s="73"/>
      <c r="AB188" s="137"/>
      <c r="AC188" s="73"/>
    </row>
    <row r="189" spans="2:30" s="50" customFormat="1" ht="22.5">
      <c r="B189" s="168"/>
      <c r="C189" s="154">
        <f t="shared" si="5"/>
        <v>10</v>
      </c>
      <c r="D189" s="134" t="s">
        <v>220</v>
      </c>
      <c r="E189" s="134"/>
      <c r="F189" s="138"/>
      <c r="G189" s="133">
        <v>0</v>
      </c>
      <c r="H189" s="133">
        <f>H175</f>
        <v>0</v>
      </c>
      <c r="I189" s="155"/>
      <c r="J189" s="80"/>
      <c r="K189" s="146"/>
      <c r="L189" s="146"/>
      <c r="M189" s="169"/>
      <c r="N189" s="169"/>
      <c r="O189" s="169"/>
      <c r="P189" s="169"/>
      <c r="Q189" s="169"/>
      <c r="R189" s="169"/>
      <c r="S189" s="73"/>
      <c r="T189" s="73"/>
      <c r="U189" s="73"/>
      <c r="V189" s="73"/>
      <c r="W189" s="73"/>
      <c r="AA189" s="73"/>
      <c r="AB189" s="137"/>
      <c r="AC189" s="73"/>
    </row>
    <row r="190" spans="2:30" s="50" customFormat="1" ht="22.5">
      <c r="B190" s="168"/>
      <c r="C190" s="154">
        <f t="shared" si="5"/>
        <v>11</v>
      </c>
      <c r="D190" s="134" t="s">
        <v>100</v>
      </c>
      <c r="E190" s="134" t="s">
        <v>122</v>
      </c>
      <c r="F190" s="153">
        <f>F147+F73</f>
        <v>480</v>
      </c>
      <c r="G190" s="133">
        <v>0</v>
      </c>
      <c r="H190" s="133">
        <f>F190*G190</f>
        <v>0</v>
      </c>
      <c r="I190" s="155"/>
      <c r="J190" s="80"/>
      <c r="K190" s="146"/>
      <c r="L190" s="146"/>
      <c r="M190" s="169"/>
      <c r="N190" s="169"/>
      <c r="O190" s="169"/>
      <c r="P190" s="169"/>
      <c r="Q190" s="169"/>
      <c r="R190" s="169"/>
      <c r="S190" s="73"/>
      <c r="T190" s="73"/>
      <c r="U190" s="73"/>
      <c r="V190" s="73"/>
      <c r="W190" s="73"/>
      <c r="AA190" s="73"/>
      <c r="AB190" s="137"/>
      <c r="AC190" s="73"/>
    </row>
    <row r="191" spans="2:30" ht="22.5">
      <c r="B191" s="186" t="s">
        <v>221</v>
      </c>
      <c r="C191" s="154">
        <f t="shared" si="5"/>
        <v>12</v>
      </c>
      <c r="D191" s="134" t="e">
        <f>#REF!</f>
        <v>#REF!</v>
      </c>
      <c r="E191" s="134" t="s">
        <v>142</v>
      </c>
      <c r="F191" s="153">
        <f>F50+F62+F76+F89+F104+F112</f>
        <v>5.5</v>
      </c>
      <c r="G191" s="133">
        <v>0</v>
      </c>
      <c r="H191" s="133">
        <f>G191*F191</f>
        <v>0</v>
      </c>
      <c r="I191" s="152"/>
      <c r="J191" s="50"/>
      <c r="K191" s="50"/>
      <c r="L191" s="72"/>
      <c r="M191" s="183"/>
      <c r="N191" s="183"/>
      <c r="O191" s="183"/>
      <c r="P191" s="183"/>
      <c r="Q191" s="183"/>
      <c r="R191" s="183"/>
      <c r="V191" s="37"/>
      <c r="W191" s="37"/>
      <c r="X191" s="37"/>
      <c r="Z191" s="63"/>
      <c r="AA191" s="31"/>
    </row>
    <row r="192" spans="2:30" ht="22.5">
      <c r="B192" s="187"/>
      <c r="C192" s="154">
        <f t="shared" si="5"/>
        <v>13</v>
      </c>
      <c r="D192" s="134" t="e">
        <f>#REF!</f>
        <v>#REF!</v>
      </c>
      <c r="E192" s="134" t="s">
        <v>142</v>
      </c>
      <c r="F192" s="153">
        <f>F17+F28+F40+F56+F68+F82+F95+F110+F148</f>
        <v>8</v>
      </c>
      <c r="G192" s="133">
        <v>0</v>
      </c>
      <c r="H192" s="133">
        <f t="shared" ref="H192:H198" si="6">G192*F192</f>
        <v>0</v>
      </c>
      <c r="I192" s="152"/>
      <c r="J192" s="50"/>
      <c r="K192" s="50"/>
      <c r="L192" s="72"/>
      <c r="M192" s="183"/>
      <c r="N192" s="183"/>
      <c r="O192" s="183"/>
      <c r="P192" s="183"/>
      <c r="Q192" s="183"/>
      <c r="R192" s="183"/>
      <c r="V192" s="37"/>
      <c r="W192" s="37"/>
      <c r="X192" s="37"/>
      <c r="Z192" s="63"/>
      <c r="AA192" s="31"/>
    </row>
    <row r="193" spans="2:27" ht="22.5">
      <c r="B193" s="187"/>
      <c r="C193" s="154">
        <f t="shared" si="5"/>
        <v>14</v>
      </c>
      <c r="D193" s="134" t="e">
        <f>#REF!</f>
        <v>#REF!</v>
      </c>
      <c r="E193" s="134" t="s">
        <v>142</v>
      </c>
      <c r="F193" s="153">
        <f>F22+F48+F60+F87+F102</f>
        <v>5</v>
      </c>
      <c r="G193" s="133">
        <v>0</v>
      </c>
      <c r="H193" s="133">
        <f t="shared" si="6"/>
        <v>0</v>
      </c>
      <c r="I193" s="152"/>
      <c r="J193" s="50"/>
      <c r="K193" s="50"/>
      <c r="L193" s="72"/>
      <c r="M193" s="183"/>
      <c r="N193" s="183"/>
      <c r="O193" s="183"/>
      <c r="P193" s="183"/>
      <c r="Q193" s="183"/>
      <c r="R193" s="183"/>
      <c r="V193" s="37"/>
      <c r="W193" s="37"/>
      <c r="X193" s="37"/>
      <c r="Z193" s="63"/>
      <c r="AA193" s="31"/>
    </row>
    <row r="194" spans="2:27" ht="22.5">
      <c r="B194" s="187"/>
      <c r="C194" s="154">
        <f t="shared" si="5"/>
        <v>15</v>
      </c>
      <c r="D194" s="134" t="e">
        <f>#REF!</f>
        <v>#REF!</v>
      </c>
      <c r="E194" s="134" t="s">
        <v>142</v>
      </c>
      <c r="F194" s="153">
        <f>F34</f>
        <v>2</v>
      </c>
      <c r="G194" s="133">
        <v>0</v>
      </c>
      <c r="H194" s="133">
        <f t="shared" si="6"/>
        <v>0</v>
      </c>
      <c r="I194" s="152"/>
      <c r="J194" s="50"/>
      <c r="K194" s="50"/>
      <c r="L194" s="72"/>
      <c r="M194" s="183"/>
      <c r="N194" s="183"/>
      <c r="O194" s="183"/>
      <c r="P194" s="183"/>
      <c r="Q194" s="183"/>
      <c r="R194" s="183"/>
      <c r="V194" s="37"/>
      <c r="W194" s="37"/>
      <c r="X194" s="37"/>
      <c r="Z194" s="63"/>
      <c r="AA194" s="31"/>
    </row>
    <row r="195" spans="2:27" ht="22.5">
      <c r="B195" s="187"/>
      <c r="C195" s="154">
        <f t="shared" si="5"/>
        <v>16</v>
      </c>
      <c r="D195" s="134" t="e">
        <f>#REF!</f>
        <v>#REF!</v>
      </c>
      <c r="E195" s="134" t="s">
        <v>142</v>
      </c>
      <c r="F195" s="153">
        <f>F74</f>
        <v>2</v>
      </c>
      <c r="G195" s="133">
        <v>0</v>
      </c>
      <c r="H195" s="133">
        <f t="shared" si="6"/>
        <v>0</v>
      </c>
      <c r="I195" s="152"/>
      <c r="J195" s="50"/>
      <c r="K195" s="50"/>
      <c r="L195" s="72"/>
      <c r="M195" s="183"/>
      <c r="N195" s="183"/>
      <c r="O195" s="183"/>
      <c r="P195" s="183"/>
      <c r="Q195" s="183"/>
      <c r="R195" s="183"/>
      <c r="V195" s="37"/>
      <c r="W195" s="37"/>
      <c r="X195" s="37"/>
      <c r="Z195" s="63"/>
      <c r="AA195" s="31"/>
    </row>
    <row r="196" spans="2:27" ht="22.5">
      <c r="B196" s="187"/>
      <c r="C196" s="154">
        <f t="shared" si="5"/>
        <v>17</v>
      </c>
      <c r="D196" s="134" t="e">
        <f>#REF!</f>
        <v>#REF!</v>
      </c>
      <c r="E196" s="134" t="s">
        <v>142</v>
      </c>
      <c r="F196" s="153">
        <f>F120+F125</f>
        <v>7</v>
      </c>
      <c r="G196" s="133">
        <v>0</v>
      </c>
      <c r="H196" s="133">
        <f t="shared" si="6"/>
        <v>0</v>
      </c>
      <c r="I196" s="152"/>
      <c r="J196" s="50"/>
      <c r="K196" s="50"/>
      <c r="L196" s="72"/>
      <c r="M196" s="183"/>
      <c r="N196" s="183"/>
      <c r="O196" s="183"/>
      <c r="P196" s="183"/>
      <c r="Q196" s="183"/>
      <c r="R196" s="183"/>
      <c r="V196" s="37"/>
      <c r="W196" s="37"/>
      <c r="X196" s="37"/>
      <c r="Z196" s="63"/>
      <c r="AA196" s="31"/>
    </row>
    <row r="197" spans="2:27" ht="22.5">
      <c r="B197" s="187"/>
      <c r="C197" s="154">
        <f t="shared" si="5"/>
        <v>18</v>
      </c>
      <c r="D197" s="134" t="s">
        <v>220</v>
      </c>
      <c r="E197" s="134" t="s">
        <v>142</v>
      </c>
      <c r="F197" s="153">
        <f>F141</f>
        <v>2</v>
      </c>
      <c r="G197" s="133">
        <v>0</v>
      </c>
      <c r="H197" s="133">
        <f t="shared" si="6"/>
        <v>0</v>
      </c>
      <c r="I197" s="152"/>
      <c r="J197" s="50"/>
      <c r="K197" s="50"/>
      <c r="L197" s="72"/>
      <c r="M197" s="183"/>
      <c r="N197" s="183"/>
      <c r="O197" s="183"/>
      <c r="P197" s="183"/>
      <c r="Q197" s="183"/>
      <c r="R197" s="183"/>
      <c r="V197" s="37"/>
      <c r="W197" s="37"/>
      <c r="X197" s="37"/>
      <c r="Z197" s="63"/>
      <c r="AA197" s="31"/>
    </row>
    <row r="198" spans="2:27" ht="22.5">
      <c r="B198" s="187"/>
      <c r="C198" s="154">
        <f t="shared" si="5"/>
        <v>19</v>
      </c>
      <c r="D198" s="134" t="s">
        <v>136</v>
      </c>
      <c r="E198" s="134" t="s">
        <v>133</v>
      </c>
      <c r="F198" s="160">
        <f>F8+F7+F6</f>
        <v>39.024000000000001</v>
      </c>
      <c r="G198" s="133">
        <v>0</v>
      </c>
      <c r="H198" s="133">
        <f t="shared" si="6"/>
        <v>0</v>
      </c>
      <c r="I198" s="152"/>
      <c r="J198" s="50"/>
      <c r="K198" s="50"/>
      <c r="L198" s="72"/>
      <c r="M198" s="183"/>
      <c r="N198" s="183"/>
      <c r="O198" s="183"/>
      <c r="P198" s="183"/>
      <c r="Q198" s="183"/>
      <c r="R198" s="183"/>
      <c r="V198" s="37"/>
      <c r="W198" s="37"/>
      <c r="X198" s="37"/>
      <c r="Z198" s="63"/>
      <c r="AA198" s="31"/>
    </row>
    <row r="199" spans="2:27" ht="22.5">
      <c r="B199" s="36"/>
      <c r="C199" s="31"/>
      <c r="F199" s="32"/>
      <c r="G199" s="33"/>
      <c r="H199" s="34"/>
      <c r="I199" s="152"/>
      <c r="J199" s="50"/>
      <c r="K199" s="50"/>
      <c r="L199" s="72"/>
      <c r="M199" s="183"/>
      <c r="N199" s="183"/>
      <c r="O199" s="183"/>
      <c r="P199" s="183"/>
      <c r="Q199" s="183"/>
      <c r="R199" s="183"/>
      <c r="V199" s="37"/>
      <c r="W199" s="37"/>
      <c r="X199" s="37"/>
      <c r="Z199" s="63"/>
      <c r="AA199" s="31"/>
    </row>
    <row r="200" spans="2:27" ht="22.5">
      <c r="B200" s="36"/>
      <c r="C200" s="31"/>
      <c r="F200" s="32"/>
      <c r="G200" s="33"/>
      <c r="H200" s="34"/>
      <c r="I200" s="152"/>
      <c r="J200" s="50"/>
      <c r="K200" s="50"/>
      <c r="L200" s="72"/>
      <c r="M200" s="183"/>
      <c r="N200" s="183"/>
      <c r="O200" s="183"/>
      <c r="P200" s="183"/>
      <c r="Q200" s="183"/>
      <c r="R200" s="183"/>
      <c r="Z200" s="63"/>
      <c r="AA200" s="31"/>
    </row>
    <row r="201" spans="2:27" ht="22.5">
      <c r="B201" s="36"/>
      <c r="C201" s="31"/>
      <c r="F201" s="32"/>
      <c r="G201" s="33"/>
      <c r="H201" s="34"/>
      <c r="I201" s="152"/>
      <c r="J201" s="50"/>
      <c r="K201" s="50"/>
      <c r="L201" s="72"/>
      <c r="M201" s="183"/>
      <c r="N201" s="183"/>
      <c r="O201" s="183"/>
      <c r="P201" s="183"/>
      <c r="Q201" s="183"/>
      <c r="R201" s="183"/>
      <c r="Z201" s="63"/>
      <c r="AA201" s="31"/>
    </row>
    <row r="202" spans="2:27" ht="22.5">
      <c r="B202" s="36"/>
      <c r="C202" s="31"/>
      <c r="F202" s="32"/>
      <c r="G202" s="33"/>
      <c r="H202" s="34"/>
      <c r="I202" s="152"/>
      <c r="J202" s="50"/>
      <c r="K202" s="50"/>
      <c r="L202" s="72"/>
      <c r="M202" s="183"/>
      <c r="N202" s="183"/>
      <c r="O202" s="183"/>
      <c r="P202" s="183"/>
      <c r="Q202" s="183"/>
      <c r="R202" s="183"/>
      <c r="Z202" s="63"/>
      <c r="AA202" s="31"/>
    </row>
    <row r="203" spans="2:27" ht="22.5">
      <c r="B203" s="36"/>
      <c r="C203" s="31"/>
      <c r="F203" s="32"/>
      <c r="G203" s="33"/>
      <c r="H203" s="34"/>
      <c r="I203" s="152"/>
      <c r="J203" s="50"/>
      <c r="K203" s="50"/>
      <c r="L203" s="72"/>
      <c r="M203" s="183"/>
      <c r="N203" s="183"/>
      <c r="O203" s="183"/>
      <c r="P203" s="183"/>
      <c r="Q203" s="183"/>
      <c r="R203" s="183"/>
      <c r="Z203" s="63"/>
      <c r="AA203" s="31"/>
    </row>
    <row r="204" spans="2:27" ht="22.5">
      <c r="B204" s="36"/>
      <c r="C204" s="31"/>
      <c r="F204" s="32"/>
      <c r="G204" s="33"/>
      <c r="H204" s="34"/>
      <c r="I204" s="152"/>
      <c r="J204" s="50"/>
      <c r="K204" s="50"/>
      <c r="L204" s="72"/>
      <c r="M204" s="183"/>
      <c r="N204" s="183"/>
      <c r="O204" s="183"/>
      <c r="P204" s="183"/>
      <c r="Q204" s="183"/>
      <c r="R204" s="183"/>
      <c r="Z204" s="63"/>
      <c r="AA204" s="31"/>
    </row>
    <row r="205" spans="2:27" ht="22.5">
      <c r="B205" s="36"/>
      <c r="C205" s="31"/>
      <c r="F205" s="32"/>
      <c r="G205" s="33"/>
      <c r="H205" s="34"/>
      <c r="I205" s="152"/>
      <c r="J205" s="50"/>
      <c r="K205" s="50"/>
      <c r="L205" s="72"/>
      <c r="M205" s="183"/>
      <c r="N205" s="183"/>
      <c r="O205" s="183"/>
      <c r="P205" s="183"/>
      <c r="Q205" s="183"/>
      <c r="R205" s="183"/>
      <c r="Z205" s="63"/>
      <c r="AA205" s="31"/>
    </row>
    <row r="206" spans="2:27" ht="22.5">
      <c r="B206" s="36"/>
      <c r="C206" s="31"/>
      <c r="F206" s="32"/>
      <c r="G206" s="33"/>
      <c r="H206" s="34"/>
      <c r="I206" s="152"/>
      <c r="J206" s="50"/>
      <c r="K206" s="50"/>
      <c r="L206" s="72"/>
      <c r="M206" s="183"/>
      <c r="N206" s="183"/>
      <c r="O206" s="183"/>
      <c r="P206" s="183"/>
      <c r="Q206" s="183"/>
      <c r="R206" s="183"/>
      <c r="Z206" s="63"/>
      <c r="AA206" s="31"/>
    </row>
    <row r="207" spans="2:27" ht="22.5">
      <c r="B207" s="36"/>
      <c r="C207" s="31"/>
      <c r="F207" s="32"/>
      <c r="G207" s="33"/>
      <c r="H207" s="34"/>
      <c r="I207" s="152"/>
      <c r="J207" s="50"/>
      <c r="K207" s="50"/>
      <c r="L207" s="72"/>
      <c r="M207" s="183"/>
      <c r="N207" s="183"/>
      <c r="O207" s="183"/>
      <c r="P207" s="183"/>
      <c r="Q207" s="183"/>
      <c r="R207" s="183"/>
      <c r="Z207" s="63"/>
      <c r="AA207" s="31"/>
    </row>
    <row r="208" spans="2:27" ht="22.5">
      <c r="B208" s="36"/>
      <c r="C208" s="31"/>
      <c r="F208" s="32"/>
      <c r="G208" s="33"/>
      <c r="H208" s="34"/>
      <c r="I208" s="152"/>
      <c r="J208" s="50"/>
      <c r="K208" s="50"/>
      <c r="L208" s="72"/>
      <c r="M208" s="183"/>
      <c r="N208" s="183"/>
      <c r="O208" s="183"/>
      <c r="P208" s="183"/>
      <c r="Q208" s="183"/>
      <c r="R208" s="183"/>
      <c r="Z208" s="63"/>
      <c r="AA208" s="31"/>
    </row>
    <row r="209" spans="2:27" ht="22.5">
      <c r="B209" s="36"/>
      <c r="C209" s="31"/>
      <c r="F209" s="32"/>
      <c r="G209" s="33"/>
      <c r="H209" s="34"/>
      <c r="I209" s="152"/>
      <c r="J209" s="50"/>
      <c r="K209" s="50"/>
      <c r="L209" s="72"/>
      <c r="M209" s="183"/>
      <c r="N209" s="183"/>
      <c r="O209" s="183"/>
      <c r="P209" s="183"/>
      <c r="Q209" s="183"/>
      <c r="R209" s="183"/>
      <c r="Z209" s="63"/>
      <c r="AA209" s="31"/>
    </row>
    <row r="210" spans="2:27" ht="22.5">
      <c r="B210" s="36"/>
      <c r="C210" s="31"/>
      <c r="F210" s="32"/>
      <c r="G210" s="33"/>
      <c r="H210" s="34"/>
      <c r="I210" s="152"/>
      <c r="J210" s="50"/>
      <c r="K210" s="50"/>
      <c r="L210" s="72"/>
      <c r="M210" s="183"/>
      <c r="N210" s="183"/>
      <c r="O210" s="183"/>
      <c r="P210" s="183"/>
      <c r="Q210" s="183"/>
      <c r="R210" s="183"/>
      <c r="Z210" s="63"/>
      <c r="AA210" s="31"/>
    </row>
    <row r="211" spans="2:27" ht="22.5">
      <c r="B211" s="36"/>
      <c r="C211" s="31"/>
      <c r="F211" s="32"/>
      <c r="G211" s="33"/>
      <c r="H211" s="34"/>
      <c r="I211" s="152"/>
      <c r="J211" s="50"/>
      <c r="K211" s="50"/>
      <c r="L211" s="72"/>
      <c r="M211" s="183"/>
      <c r="N211" s="183"/>
      <c r="O211" s="183"/>
      <c r="P211" s="183"/>
      <c r="Q211" s="183"/>
      <c r="R211" s="183"/>
      <c r="Z211" s="63"/>
      <c r="AA211" s="31"/>
    </row>
    <row r="212" spans="2:27" ht="22.5">
      <c r="B212" s="36"/>
      <c r="C212" s="31"/>
      <c r="F212" s="32"/>
      <c r="G212" s="33"/>
      <c r="H212" s="34"/>
      <c r="I212" s="152"/>
      <c r="J212" s="50"/>
      <c r="K212" s="50"/>
      <c r="L212" s="72"/>
      <c r="M212" s="183"/>
      <c r="N212" s="183"/>
      <c r="O212" s="183"/>
      <c r="P212" s="183"/>
      <c r="Q212" s="183"/>
      <c r="R212" s="183"/>
      <c r="Z212" s="63"/>
      <c r="AA212" s="31"/>
    </row>
    <row r="213" spans="2:27" ht="22.5">
      <c r="B213" s="36"/>
      <c r="C213" s="31"/>
      <c r="F213" s="32"/>
      <c r="G213" s="33"/>
      <c r="H213" s="34"/>
      <c r="I213" s="152"/>
      <c r="J213" s="50"/>
      <c r="K213" s="50"/>
      <c r="L213" s="72"/>
      <c r="M213" s="183"/>
      <c r="N213" s="183"/>
      <c r="O213" s="183"/>
      <c r="P213" s="183"/>
      <c r="Q213" s="183"/>
      <c r="R213" s="183"/>
      <c r="Z213" s="63"/>
      <c r="AA213" s="31"/>
    </row>
    <row r="214" spans="2:27" ht="22.5">
      <c r="B214" s="36"/>
      <c r="C214" s="31"/>
      <c r="F214" s="32"/>
      <c r="G214" s="33"/>
      <c r="H214" s="34"/>
      <c r="I214" s="152"/>
      <c r="J214" s="50"/>
      <c r="K214" s="50"/>
      <c r="L214" s="72"/>
      <c r="M214" s="183"/>
      <c r="N214" s="183"/>
      <c r="O214" s="183"/>
      <c r="P214" s="183"/>
      <c r="Q214" s="183"/>
      <c r="R214" s="183"/>
      <c r="Z214" s="63"/>
      <c r="AA214" s="31"/>
    </row>
    <row r="215" spans="2:27" ht="22.5">
      <c r="B215" s="36"/>
      <c r="C215" s="31"/>
      <c r="F215" s="32"/>
      <c r="G215" s="33"/>
      <c r="H215" s="34"/>
      <c r="I215" s="152"/>
      <c r="J215" s="50"/>
      <c r="K215" s="50"/>
      <c r="L215" s="72"/>
      <c r="M215" s="183"/>
      <c r="N215" s="183"/>
      <c r="O215" s="183"/>
      <c r="P215" s="183"/>
      <c r="Q215" s="183"/>
      <c r="R215" s="183"/>
      <c r="Z215" s="63"/>
      <c r="AA215" s="31"/>
    </row>
    <row r="216" spans="2:27" ht="22.5">
      <c r="B216" s="36"/>
      <c r="C216" s="31"/>
      <c r="F216" s="32"/>
      <c r="G216" s="33"/>
      <c r="H216" s="34"/>
      <c r="I216" s="152"/>
      <c r="J216" s="50"/>
      <c r="K216" s="50"/>
      <c r="L216" s="72"/>
      <c r="M216" s="183"/>
      <c r="N216" s="183"/>
      <c r="O216" s="183"/>
      <c r="P216" s="183"/>
      <c r="Q216" s="183"/>
      <c r="R216" s="183"/>
      <c r="Z216" s="63"/>
      <c r="AA216" s="31"/>
    </row>
    <row r="217" spans="2:27" ht="22.5">
      <c r="B217" s="36"/>
      <c r="C217" s="31"/>
      <c r="F217" s="32"/>
      <c r="G217" s="33"/>
      <c r="H217" s="34"/>
      <c r="I217" s="152"/>
      <c r="J217" s="50"/>
      <c r="K217" s="50"/>
      <c r="L217" s="72"/>
      <c r="M217" s="183"/>
      <c r="N217" s="183"/>
      <c r="O217" s="183"/>
      <c r="P217" s="183"/>
      <c r="Q217" s="183"/>
      <c r="R217" s="183"/>
      <c r="Z217" s="63"/>
      <c r="AA217" s="31"/>
    </row>
    <row r="218" spans="2:27" ht="22.5">
      <c r="B218" s="36"/>
      <c r="C218" s="31"/>
      <c r="F218" s="32"/>
      <c r="G218" s="33"/>
      <c r="H218" s="34"/>
      <c r="I218" s="152"/>
      <c r="J218" s="50"/>
      <c r="K218" s="50"/>
      <c r="L218" s="72"/>
      <c r="M218" s="183"/>
      <c r="N218" s="183"/>
      <c r="O218" s="183"/>
      <c r="P218" s="183"/>
      <c r="Q218" s="183"/>
      <c r="R218" s="183"/>
      <c r="Z218" s="63"/>
      <c r="AA218" s="31"/>
    </row>
    <row r="219" spans="2:27" ht="22.5">
      <c r="I219" s="152"/>
      <c r="J219" s="152"/>
      <c r="K219" s="50"/>
      <c r="L219" s="50"/>
      <c r="M219" s="183"/>
      <c r="N219" s="183"/>
      <c r="O219" s="183"/>
      <c r="P219" s="183"/>
      <c r="Q219" s="183"/>
      <c r="R219" s="183"/>
    </row>
    <row r="220" spans="2:27" ht="22.5">
      <c r="I220" s="152"/>
      <c r="J220" s="152"/>
      <c r="K220" s="50"/>
      <c r="L220" s="50"/>
      <c r="M220" s="183"/>
      <c r="N220" s="183"/>
      <c r="O220" s="183"/>
      <c r="P220" s="183"/>
      <c r="Q220" s="183"/>
      <c r="R220" s="183"/>
    </row>
    <row r="221" spans="2:27" ht="22.5">
      <c r="I221" s="152"/>
      <c r="J221" s="152"/>
      <c r="K221" s="50"/>
      <c r="L221" s="50"/>
      <c r="M221" s="183"/>
      <c r="N221" s="183"/>
      <c r="O221" s="183"/>
      <c r="P221" s="183"/>
      <c r="Q221" s="183"/>
      <c r="R221" s="183"/>
    </row>
    <row r="222" spans="2:27" ht="22.5">
      <c r="I222" s="152"/>
      <c r="J222" s="152"/>
      <c r="K222" s="50"/>
      <c r="L222" s="50"/>
      <c r="M222" s="183"/>
      <c r="N222" s="183"/>
      <c r="O222" s="183"/>
      <c r="P222" s="183"/>
      <c r="Q222" s="183"/>
      <c r="R222" s="183"/>
    </row>
    <row r="223" spans="2:27" ht="22.5">
      <c r="I223" s="152"/>
      <c r="J223" s="152"/>
      <c r="K223" s="50"/>
      <c r="L223" s="50"/>
      <c r="M223" s="183"/>
      <c r="N223" s="183"/>
      <c r="O223" s="183"/>
      <c r="P223" s="183"/>
      <c r="Q223" s="183"/>
      <c r="R223" s="183"/>
    </row>
    <row r="224" spans="2:27" ht="22.5">
      <c r="I224" s="152"/>
      <c r="J224" s="152"/>
      <c r="K224" s="50"/>
      <c r="L224" s="50"/>
      <c r="M224" s="183"/>
      <c r="N224" s="183"/>
      <c r="O224" s="183"/>
      <c r="P224" s="183"/>
      <c r="Q224" s="183"/>
      <c r="R224" s="183"/>
    </row>
    <row r="225" spans="9:18" ht="22.5">
      <c r="I225" s="152"/>
      <c r="J225" s="152"/>
      <c r="K225" s="50"/>
      <c r="L225" s="50"/>
      <c r="M225" s="183"/>
      <c r="N225" s="183"/>
      <c r="O225" s="183"/>
      <c r="P225" s="183"/>
      <c r="Q225" s="183"/>
      <c r="R225" s="183"/>
    </row>
    <row r="226" spans="9:18" ht="22.5">
      <c r="I226" s="152"/>
      <c r="J226" s="152"/>
      <c r="K226" s="50"/>
      <c r="L226" s="50"/>
      <c r="M226" s="183"/>
      <c r="N226" s="183"/>
      <c r="O226" s="183"/>
      <c r="P226" s="183"/>
      <c r="Q226" s="183"/>
      <c r="R226" s="183"/>
    </row>
    <row r="227" spans="9:18" ht="22.5">
      <c r="I227" s="152"/>
      <c r="J227" s="152"/>
      <c r="K227" s="50"/>
      <c r="L227" s="50"/>
      <c r="M227" s="183"/>
      <c r="N227" s="183"/>
      <c r="O227" s="183"/>
      <c r="P227" s="183"/>
      <c r="Q227" s="183"/>
      <c r="R227" s="183"/>
    </row>
    <row r="228" spans="9:18" ht="22.5">
      <c r="I228" s="152"/>
      <c r="J228" s="152"/>
      <c r="K228" s="50"/>
      <c r="L228" s="50"/>
      <c r="M228" s="183"/>
      <c r="N228" s="183"/>
      <c r="O228" s="183"/>
      <c r="P228" s="183"/>
      <c r="Q228" s="183"/>
      <c r="R228" s="183"/>
    </row>
    <row r="229" spans="9:18" ht="22.5">
      <c r="I229" s="152"/>
      <c r="J229" s="152"/>
      <c r="K229" s="50"/>
      <c r="L229" s="50"/>
      <c r="M229" s="183"/>
      <c r="N229" s="183"/>
      <c r="O229" s="183"/>
      <c r="P229" s="183"/>
      <c r="Q229" s="183"/>
      <c r="R229" s="183"/>
    </row>
    <row r="230" spans="9:18" ht="22.5">
      <c r="I230" s="152"/>
      <c r="J230" s="152"/>
      <c r="K230" s="50"/>
      <c r="L230" s="50"/>
      <c r="M230" s="183"/>
      <c r="N230" s="183"/>
      <c r="O230" s="183"/>
      <c r="P230" s="183"/>
      <c r="Q230" s="183"/>
      <c r="R230" s="183"/>
    </row>
    <row r="231" spans="9:18" ht="22.5">
      <c r="I231" s="152"/>
      <c r="J231" s="152"/>
      <c r="K231" s="50"/>
      <c r="L231" s="50"/>
      <c r="M231" s="183"/>
      <c r="N231" s="183"/>
      <c r="O231" s="183"/>
      <c r="P231" s="183"/>
      <c r="Q231" s="183"/>
      <c r="R231" s="183"/>
    </row>
    <row r="232" spans="9:18" ht="22.5">
      <c r="I232" s="152"/>
      <c r="J232" s="152"/>
      <c r="K232" s="50"/>
      <c r="L232" s="50"/>
      <c r="M232" s="183"/>
      <c r="N232" s="183"/>
      <c r="O232" s="183"/>
      <c r="P232" s="183"/>
      <c r="Q232" s="183"/>
      <c r="R232" s="183"/>
    </row>
    <row r="233" spans="9:18">
      <c r="I233" s="152"/>
      <c r="J233" s="152"/>
      <c r="K233" s="50"/>
      <c r="L233" s="50"/>
    </row>
    <row r="234" spans="9:18">
      <c r="I234" s="152"/>
      <c r="J234" s="152"/>
      <c r="K234" s="50"/>
      <c r="L234" s="50"/>
    </row>
    <row r="235" spans="9:18">
      <c r="I235" s="152"/>
      <c r="J235" s="152"/>
      <c r="K235" s="50"/>
      <c r="L235" s="50"/>
    </row>
    <row r="236" spans="9:18">
      <c r="I236" s="152"/>
      <c r="J236" s="152"/>
      <c r="K236" s="50"/>
      <c r="L236" s="50"/>
    </row>
    <row r="237" spans="9:18">
      <c r="I237" s="152"/>
      <c r="J237" s="152"/>
      <c r="K237" s="50"/>
      <c r="L237" s="50"/>
    </row>
    <row r="238" spans="9:18">
      <c r="I238" s="152"/>
      <c r="J238" s="152"/>
      <c r="K238" s="50"/>
      <c r="L238" s="50"/>
    </row>
    <row r="239" spans="9:18">
      <c r="I239" s="152"/>
      <c r="J239" s="152"/>
      <c r="K239" s="50"/>
      <c r="L239" s="50"/>
    </row>
    <row r="240" spans="9:18">
      <c r="I240" s="152"/>
      <c r="J240" s="152"/>
      <c r="K240" s="50"/>
      <c r="L240" s="50"/>
    </row>
    <row r="241" spans="9:12">
      <c r="I241" s="152"/>
      <c r="J241" s="152"/>
      <c r="K241" s="50"/>
      <c r="L241" s="50"/>
    </row>
    <row r="242" spans="9:12">
      <c r="I242" s="152"/>
      <c r="J242" s="152"/>
      <c r="K242" s="50"/>
      <c r="L242" s="50"/>
    </row>
    <row r="243" spans="9:12">
      <c r="I243" s="152"/>
      <c r="J243" s="152"/>
      <c r="K243" s="50"/>
      <c r="L243" s="50"/>
    </row>
    <row r="244" spans="9:12">
      <c r="I244" s="152"/>
      <c r="J244" s="152"/>
      <c r="K244" s="50"/>
      <c r="L244" s="50"/>
    </row>
    <row r="245" spans="9:12">
      <c r="I245" s="152"/>
      <c r="J245" s="152"/>
      <c r="K245" s="50"/>
      <c r="L245" s="50"/>
    </row>
    <row r="246" spans="9:12">
      <c r="I246" s="152"/>
      <c r="J246" s="152"/>
      <c r="K246" s="50"/>
      <c r="L246" s="50"/>
    </row>
    <row r="247" spans="9:12">
      <c r="I247" s="152"/>
      <c r="J247" s="152"/>
      <c r="K247" s="50"/>
      <c r="L247" s="50"/>
    </row>
    <row r="248" spans="9:12">
      <c r="I248" s="152"/>
      <c r="J248" s="152"/>
      <c r="K248" s="50"/>
      <c r="L248" s="50"/>
    </row>
    <row r="249" spans="9:12">
      <c r="I249" s="152"/>
      <c r="J249" s="152"/>
      <c r="K249" s="50"/>
      <c r="L249" s="50"/>
    </row>
    <row r="250" spans="9:12">
      <c r="I250" s="152"/>
      <c r="J250" s="152"/>
      <c r="K250" s="50"/>
      <c r="L250" s="50"/>
    </row>
    <row r="251" spans="9:12">
      <c r="I251" s="152"/>
      <c r="J251" s="152"/>
      <c r="K251" s="50"/>
      <c r="L251" s="50"/>
    </row>
    <row r="252" spans="9:12">
      <c r="I252" s="152"/>
      <c r="J252" s="152"/>
      <c r="K252" s="50"/>
      <c r="L252" s="50"/>
    </row>
    <row r="253" spans="9:12">
      <c r="I253" s="152"/>
      <c r="J253" s="152"/>
      <c r="K253" s="50"/>
      <c r="L253" s="50"/>
    </row>
    <row r="254" spans="9:12">
      <c r="I254" s="152"/>
      <c r="J254" s="152"/>
      <c r="K254" s="50"/>
      <c r="L254" s="50"/>
    </row>
    <row r="255" spans="9:12">
      <c r="I255" s="152"/>
      <c r="J255" s="152"/>
      <c r="K255" s="50"/>
      <c r="L255" s="50"/>
    </row>
    <row r="256" spans="9:12">
      <c r="I256" s="152"/>
      <c r="J256" s="152"/>
      <c r="K256" s="50"/>
      <c r="L256" s="50"/>
    </row>
    <row r="257" spans="9:12">
      <c r="I257" s="152"/>
      <c r="J257" s="152"/>
      <c r="K257" s="50"/>
      <c r="L257" s="50"/>
    </row>
    <row r="258" spans="9:12">
      <c r="I258" s="152"/>
      <c r="J258" s="152"/>
      <c r="K258" s="50"/>
      <c r="L258" s="50"/>
    </row>
    <row r="259" spans="9:12">
      <c r="I259" s="152"/>
      <c r="J259" s="152"/>
      <c r="K259" s="50"/>
      <c r="L259" s="50"/>
    </row>
    <row r="260" spans="9:12">
      <c r="I260" s="152"/>
      <c r="J260" s="152"/>
      <c r="K260" s="50"/>
      <c r="L260" s="50"/>
    </row>
    <row r="261" spans="9:12">
      <c r="I261" s="152"/>
      <c r="J261" s="152"/>
      <c r="K261" s="50"/>
      <c r="L261" s="50"/>
    </row>
    <row r="262" spans="9:12">
      <c r="I262" s="152"/>
      <c r="J262" s="152"/>
      <c r="K262" s="50"/>
      <c r="L262" s="50"/>
    </row>
    <row r="263" spans="9:12">
      <c r="I263" s="152"/>
      <c r="J263" s="152"/>
      <c r="K263" s="50"/>
      <c r="L263" s="50"/>
    </row>
    <row r="264" spans="9:12">
      <c r="I264" s="152"/>
      <c r="J264" s="152"/>
      <c r="K264" s="50"/>
      <c r="L264" s="50"/>
    </row>
    <row r="265" spans="9:12">
      <c r="I265" s="152"/>
      <c r="J265" s="152"/>
      <c r="K265" s="50"/>
      <c r="L265" s="50"/>
    </row>
    <row r="266" spans="9:12">
      <c r="I266" s="152"/>
      <c r="J266" s="152"/>
      <c r="K266" s="50"/>
      <c r="L266" s="50"/>
    </row>
    <row r="267" spans="9:12">
      <c r="I267" s="152"/>
      <c r="J267" s="152"/>
      <c r="K267" s="50"/>
      <c r="L267" s="50"/>
    </row>
    <row r="268" spans="9:12">
      <c r="I268" s="152"/>
      <c r="J268" s="152"/>
      <c r="K268" s="50"/>
      <c r="L268" s="50"/>
    </row>
    <row r="269" spans="9:12">
      <c r="I269" s="152"/>
      <c r="J269" s="152"/>
      <c r="K269" s="50"/>
      <c r="L269" s="50"/>
    </row>
    <row r="270" spans="9:12">
      <c r="I270" s="152"/>
      <c r="J270" s="152"/>
      <c r="K270" s="50"/>
      <c r="L270" s="50"/>
    </row>
    <row r="271" spans="9:12">
      <c r="I271" s="152"/>
      <c r="J271" s="152"/>
      <c r="K271" s="50"/>
      <c r="L271" s="50"/>
    </row>
    <row r="272" spans="9:12">
      <c r="I272" s="152"/>
      <c r="J272" s="152"/>
      <c r="K272" s="50"/>
      <c r="L272" s="50"/>
    </row>
    <row r="273" spans="9:12">
      <c r="I273" s="152"/>
      <c r="J273" s="152"/>
      <c r="K273" s="50"/>
      <c r="L273" s="50"/>
    </row>
    <row r="274" spans="9:12">
      <c r="I274" s="152"/>
      <c r="J274" s="152"/>
      <c r="K274" s="50"/>
      <c r="L274" s="50"/>
    </row>
    <row r="275" spans="9:12">
      <c r="I275" s="152"/>
      <c r="J275" s="152"/>
      <c r="K275" s="50"/>
      <c r="L275" s="50"/>
    </row>
    <row r="276" spans="9:12">
      <c r="I276" s="152"/>
      <c r="J276" s="152"/>
      <c r="K276" s="50"/>
      <c r="L276" s="50"/>
    </row>
  </sheetData>
  <mergeCells count="114">
    <mergeCell ref="P178:R178"/>
    <mergeCell ref="M179:O179"/>
    <mergeCell ref="P179:R179"/>
    <mergeCell ref="C155:C167"/>
    <mergeCell ref="M178:O178"/>
    <mergeCell ref="C168:C172"/>
    <mergeCell ref="B191:B198"/>
    <mergeCell ref="A5:A10"/>
    <mergeCell ref="A12:A42"/>
    <mergeCell ref="A117:A127"/>
    <mergeCell ref="A100:A115"/>
    <mergeCell ref="A45:A98"/>
    <mergeCell ref="B155:B172"/>
    <mergeCell ref="P186:R186"/>
    <mergeCell ref="M184:O184"/>
    <mergeCell ref="P184:R184"/>
    <mergeCell ref="M191:O191"/>
    <mergeCell ref="P191:R191"/>
    <mergeCell ref="M187:O187"/>
    <mergeCell ref="P187:R187"/>
    <mergeCell ref="M183:O183"/>
    <mergeCell ref="B180:B187"/>
    <mergeCell ref="P183:R183"/>
    <mergeCell ref="M185:O185"/>
    <mergeCell ref="P185:R185"/>
    <mergeCell ref="M186:O186"/>
    <mergeCell ref="P180:R180"/>
    <mergeCell ref="M181:O181"/>
    <mergeCell ref="P181:R181"/>
    <mergeCell ref="M182:O182"/>
    <mergeCell ref="P182:R182"/>
    <mergeCell ref="M180:O180"/>
    <mergeCell ref="M195:O195"/>
    <mergeCell ref="P195:R195"/>
    <mergeCell ref="M196:O196"/>
    <mergeCell ref="P196:R196"/>
    <mergeCell ref="M197:O197"/>
    <mergeCell ref="P197:R197"/>
    <mergeCell ref="M192:O192"/>
    <mergeCell ref="P192:R192"/>
    <mergeCell ref="M193:O193"/>
    <mergeCell ref="P193:R193"/>
    <mergeCell ref="M194:O194"/>
    <mergeCell ref="P194:R194"/>
    <mergeCell ref="M201:O201"/>
    <mergeCell ref="P201:R201"/>
    <mergeCell ref="M202:O202"/>
    <mergeCell ref="P202:R202"/>
    <mergeCell ref="M203:O203"/>
    <mergeCell ref="P203:R203"/>
    <mergeCell ref="M198:O198"/>
    <mergeCell ref="P198:R198"/>
    <mergeCell ref="M199:O199"/>
    <mergeCell ref="P199:R199"/>
    <mergeCell ref="M200:O200"/>
    <mergeCell ref="P200:R200"/>
    <mergeCell ref="M207:O207"/>
    <mergeCell ref="P207:R207"/>
    <mergeCell ref="M208:O208"/>
    <mergeCell ref="P208:R208"/>
    <mergeCell ref="M209:O209"/>
    <mergeCell ref="P209:R209"/>
    <mergeCell ref="M204:O204"/>
    <mergeCell ref="P204:R204"/>
    <mergeCell ref="M205:O205"/>
    <mergeCell ref="P205:R205"/>
    <mergeCell ref="M206:O206"/>
    <mergeCell ref="P206:R206"/>
    <mergeCell ref="M213:O213"/>
    <mergeCell ref="P213:R213"/>
    <mergeCell ref="M214:O214"/>
    <mergeCell ref="P214:R214"/>
    <mergeCell ref="M215:O215"/>
    <mergeCell ref="P215:R215"/>
    <mergeCell ref="M210:O210"/>
    <mergeCell ref="P210:R210"/>
    <mergeCell ref="M211:O211"/>
    <mergeCell ref="P211:R211"/>
    <mergeCell ref="M212:O212"/>
    <mergeCell ref="P212:R212"/>
    <mergeCell ref="M219:O219"/>
    <mergeCell ref="P219:R219"/>
    <mergeCell ref="M220:O220"/>
    <mergeCell ref="P220:R220"/>
    <mergeCell ref="M221:O221"/>
    <mergeCell ref="P221:R221"/>
    <mergeCell ref="M216:O216"/>
    <mergeCell ref="P216:R216"/>
    <mergeCell ref="M217:O217"/>
    <mergeCell ref="P217:R217"/>
    <mergeCell ref="M218:O218"/>
    <mergeCell ref="P218:R218"/>
    <mergeCell ref="M225:O225"/>
    <mergeCell ref="P225:R225"/>
    <mergeCell ref="M226:O226"/>
    <mergeCell ref="P226:R226"/>
    <mergeCell ref="M227:O227"/>
    <mergeCell ref="P227:R227"/>
    <mergeCell ref="M222:O222"/>
    <mergeCell ref="P222:R222"/>
    <mergeCell ref="M223:O223"/>
    <mergeCell ref="P223:R223"/>
    <mergeCell ref="M224:O224"/>
    <mergeCell ref="P224:R224"/>
    <mergeCell ref="M228:O228"/>
    <mergeCell ref="P228:R228"/>
    <mergeCell ref="M232:O232"/>
    <mergeCell ref="P232:R232"/>
    <mergeCell ref="M229:O229"/>
    <mergeCell ref="P229:R229"/>
    <mergeCell ref="M230:O230"/>
    <mergeCell ref="P230:R230"/>
    <mergeCell ref="M231:O231"/>
    <mergeCell ref="P231:R231"/>
  </mergeCells>
  <pageMargins left="0.74803149606299213" right="0.74803149606299213" top="0.98425196850393704" bottom="0.98425196850393704" header="0.51181102362204722" footer="0.51181102362204722"/>
  <pageSetup paperSize="9" scale="16" firstPageNumber="0" orientation="landscape" horizontalDpi="300" verticalDpi="300" r:id="rId1"/>
  <headerFooter alignWithMargins="0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5:L56"/>
  <sheetViews>
    <sheetView topLeftCell="A38" zoomScaleNormal="100" workbookViewId="0">
      <selection activeCell="C23" sqref="C23"/>
    </sheetView>
  </sheetViews>
  <sheetFormatPr defaultColWidth="11.42578125" defaultRowHeight="12.75"/>
  <cols>
    <col min="1" max="1" width="17.42578125" bestFit="1" customWidth="1"/>
    <col min="2" max="2" width="11.42578125" customWidth="1"/>
    <col min="3" max="3" width="12.5703125" bestFit="1" customWidth="1"/>
    <col min="4" max="6" width="11.42578125" customWidth="1"/>
    <col min="7" max="7" width="7.85546875" bestFit="1" customWidth="1"/>
  </cols>
  <sheetData>
    <row r="5" spans="1:12" ht="25.5">
      <c r="C5" s="27" t="s">
        <v>222</v>
      </c>
      <c r="D5" s="27" t="s">
        <v>223</v>
      </c>
      <c r="E5" s="27" t="s">
        <v>224</v>
      </c>
      <c r="F5" s="27" t="s">
        <v>225</v>
      </c>
      <c r="G5" s="27" t="s">
        <v>226</v>
      </c>
      <c r="H5" s="27" t="s">
        <v>227</v>
      </c>
      <c r="I5" s="27" t="s">
        <v>144</v>
      </c>
      <c r="J5" s="27" t="s">
        <v>215</v>
      </c>
      <c r="K5" s="27" t="s">
        <v>228</v>
      </c>
      <c r="L5" s="27" t="s">
        <v>229</v>
      </c>
    </row>
    <row r="6" spans="1:12">
      <c r="A6" s="118" t="s">
        <v>230</v>
      </c>
      <c r="B6" s="118" t="s">
        <v>144</v>
      </c>
      <c r="C6" s="118">
        <v>10</v>
      </c>
      <c r="D6" s="118">
        <f>A7</f>
        <v>0.7</v>
      </c>
      <c r="E6" s="118">
        <f>D6*C6</f>
        <v>7</v>
      </c>
      <c r="F6" s="118">
        <v>9</v>
      </c>
      <c r="G6" s="118">
        <f>F6*E6</f>
        <v>63</v>
      </c>
      <c r="H6" s="119">
        <f>G6/9</f>
        <v>7</v>
      </c>
      <c r="I6" s="119">
        <f>H6</f>
        <v>7</v>
      </c>
      <c r="J6" s="118"/>
      <c r="K6" s="118"/>
      <c r="L6" s="118"/>
    </row>
    <row r="7" spans="1:12">
      <c r="A7" s="118">
        <f>materiaux!E33+0.1</f>
        <v>0.7</v>
      </c>
      <c r="B7" s="118" t="s">
        <v>231</v>
      </c>
      <c r="C7" s="118">
        <v>25</v>
      </c>
      <c r="D7" s="118">
        <v>0.2</v>
      </c>
      <c r="E7" s="118">
        <f>D7*C7</f>
        <v>5</v>
      </c>
      <c r="F7" s="118">
        <v>9</v>
      </c>
      <c r="G7" s="118">
        <f>F7*E7</f>
        <v>45</v>
      </c>
      <c r="H7" s="118"/>
      <c r="I7" s="118"/>
      <c r="J7" s="118"/>
      <c r="K7" s="118">
        <f>G7</f>
        <v>45</v>
      </c>
      <c r="L7" s="118">
        <f>K7/24</f>
        <v>1.875</v>
      </c>
    </row>
    <row r="8" spans="1:12">
      <c r="L8">
        <f t="shared" ref="L8:L43" si="0">K8/24</f>
        <v>0</v>
      </c>
    </row>
    <row r="9" spans="1:12">
      <c r="L9">
        <f t="shared" si="0"/>
        <v>0</v>
      </c>
    </row>
    <row r="10" spans="1:12">
      <c r="G10">
        <f t="shared" ref="G10:G17" si="1">F10*E10</f>
        <v>0</v>
      </c>
      <c r="L10">
        <f t="shared" si="0"/>
        <v>0</v>
      </c>
    </row>
    <row r="11" spans="1:12">
      <c r="A11" s="118" t="s">
        <v>232</v>
      </c>
      <c r="B11" s="118" t="s">
        <v>233</v>
      </c>
      <c r="C11" s="118">
        <v>4</v>
      </c>
      <c r="D11" s="118">
        <f>A12</f>
        <v>2.9</v>
      </c>
      <c r="E11" s="118">
        <f t="shared" ref="E11:E17" si="2">D11*C11</f>
        <v>11.6</v>
      </c>
      <c r="F11" s="118">
        <v>9</v>
      </c>
      <c r="G11" s="118">
        <f t="shared" si="1"/>
        <v>104.39999999999999</v>
      </c>
      <c r="H11" s="120">
        <f>G11/9</f>
        <v>11.6</v>
      </c>
      <c r="I11" s="120">
        <f>H11</f>
        <v>11.6</v>
      </c>
      <c r="J11" s="118"/>
      <c r="K11" s="118"/>
      <c r="L11" s="118">
        <f t="shared" si="0"/>
        <v>0</v>
      </c>
    </row>
    <row r="12" spans="1:12">
      <c r="A12" s="123">
        <v>2.9</v>
      </c>
      <c r="B12" s="118" t="s">
        <v>215</v>
      </c>
      <c r="C12" s="118">
        <f>ROUND(A12/0.2+2,0)</f>
        <v>17</v>
      </c>
      <c r="D12" s="118">
        <v>1.1000000000000001</v>
      </c>
      <c r="E12" s="118">
        <f t="shared" si="2"/>
        <v>18.700000000000003</v>
      </c>
      <c r="F12" s="118">
        <v>9</v>
      </c>
      <c r="G12" s="118">
        <f t="shared" si="1"/>
        <v>168.3</v>
      </c>
      <c r="H12" s="119">
        <f>G12/6</f>
        <v>28.05</v>
      </c>
      <c r="I12" s="118"/>
      <c r="J12" s="119">
        <f>H12</f>
        <v>28.05</v>
      </c>
      <c r="K12" s="118"/>
      <c r="L12" s="118">
        <f t="shared" si="0"/>
        <v>0</v>
      </c>
    </row>
    <row r="13" spans="1:12">
      <c r="A13" s="118"/>
      <c r="B13" s="118" t="s">
        <v>231</v>
      </c>
      <c r="C13" s="118">
        <f>C12*C11</f>
        <v>68</v>
      </c>
      <c r="D13" s="118">
        <v>0.2</v>
      </c>
      <c r="E13" s="118">
        <f t="shared" si="2"/>
        <v>13.600000000000001</v>
      </c>
      <c r="F13" s="118">
        <v>9</v>
      </c>
      <c r="G13" s="118">
        <f t="shared" si="1"/>
        <v>122.4</v>
      </c>
      <c r="H13" s="118"/>
      <c r="I13" s="118"/>
      <c r="J13" s="118"/>
      <c r="K13" s="118">
        <f>G13</f>
        <v>122.4</v>
      </c>
      <c r="L13" s="118">
        <f t="shared" si="0"/>
        <v>5.1000000000000005</v>
      </c>
    </row>
    <row r="14" spans="1:12" ht="26.25" customHeight="1">
      <c r="L14">
        <f t="shared" si="0"/>
        <v>0</v>
      </c>
    </row>
    <row r="15" spans="1:12">
      <c r="A15" s="29" t="s">
        <v>234</v>
      </c>
      <c r="B15" s="29" t="s">
        <v>233</v>
      </c>
      <c r="C15" s="29">
        <v>6</v>
      </c>
      <c r="D15" s="29">
        <f>A16</f>
        <v>5.4</v>
      </c>
      <c r="E15" s="29">
        <f t="shared" si="2"/>
        <v>32.400000000000006</v>
      </c>
      <c r="F15" s="29">
        <v>3</v>
      </c>
      <c r="G15" s="29">
        <f t="shared" si="1"/>
        <v>97.200000000000017</v>
      </c>
      <c r="H15" s="92">
        <f>G15/9</f>
        <v>10.800000000000002</v>
      </c>
      <c r="I15" s="92">
        <f>H15</f>
        <v>10.800000000000002</v>
      </c>
      <c r="J15" s="29"/>
      <c r="K15" s="29"/>
      <c r="L15" s="29">
        <f t="shared" si="0"/>
        <v>0</v>
      </c>
    </row>
    <row r="16" spans="1:12">
      <c r="A16" s="123">
        <v>5.4</v>
      </c>
      <c r="B16" s="29" t="s">
        <v>215</v>
      </c>
      <c r="C16" s="29">
        <f>D15/0.2+8</f>
        <v>35</v>
      </c>
      <c r="D16" s="29">
        <v>0.85</v>
      </c>
      <c r="E16" s="29">
        <f t="shared" si="2"/>
        <v>29.75</v>
      </c>
      <c r="F16" s="29">
        <v>3</v>
      </c>
      <c r="G16" s="29">
        <f t="shared" si="1"/>
        <v>89.25</v>
      </c>
      <c r="H16" s="92">
        <f>G16/6</f>
        <v>14.875</v>
      </c>
      <c r="I16" s="29"/>
      <c r="J16" s="92">
        <f>H16</f>
        <v>14.875</v>
      </c>
      <c r="K16" s="29"/>
      <c r="L16" s="29">
        <f t="shared" si="0"/>
        <v>0</v>
      </c>
    </row>
    <row r="17" spans="1:12">
      <c r="A17" s="29"/>
      <c r="B17" s="29" t="s">
        <v>231</v>
      </c>
      <c r="C17" s="29">
        <f>C15*C16</f>
        <v>210</v>
      </c>
      <c r="D17" s="29">
        <v>0.2</v>
      </c>
      <c r="E17" s="29">
        <f t="shared" si="2"/>
        <v>42</v>
      </c>
      <c r="F17" s="29">
        <v>3</v>
      </c>
      <c r="G17" s="29">
        <f t="shared" si="1"/>
        <v>126</v>
      </c>
      <c r="H17" s="29"/>
      <c r="I17" s="29"/>
      <c r="J17" s="29"/>
      <c r="K17" s="29">
        <f>G17</f>
        <v>126</v>
      </c>
      <c r="L17" s="29">
        <f t="shared" si="0"/>
        <v>5.25</v>
      </c>
    </row>
    <row r="18" spans="1:12">
      <c r="L18">
        <f t="shared" si="0"/>
        <v>0</v>
      </c>
    </row>
    <row r="19" spans="1:12">
      <c r="A19" s="29" t="s">
        <v>235</v>
      </c>
      <c r="B19" s="29" t="s">
        <v>233</v>
      </c>
      <c r="C19" s="29">
        <v>6</v>
      </c>
      <c r="D19" s="29">
        <f>A20</f>
        <v>6.8</v>
      </c>
      <c r="E19" s="29">
        <f>D19*C19</f>
        <v>40.799999999999997</v>
      </c>
      <c r="F19" s="29">
        <v>2</v>
      </c>
      <c r="G19" s="29">
        <f>F19*E19</f>
        <v>81.599999999999994</v>
      </c>
      <c r="H19" s="92">
        <f>G19/9</f>
        <v>9.0666666666666664</v>
      </c>
      <c r="I19" s="92">
        <f>H19</f>
        <v>9.0666666666666664</v>
      </c>
      <c r="J19" s="29"/>
      <c r="K19" s="29"/>
      <c r="L19" s="29">
        <f t="shared" si="0"/>
        <v>0</v>
      </c>
    </row>
    <row r="20" spans="1:12">
      <c r="A20" s="123">
        <f>materiaux!D66</f>
        <v>6.8</v>
      </c>
      <c r="B20" s="29" t="s">
        <v>215</v>
      </c>
      <c r="C20" s="29">
        <f>D19/0.2+8</f>
        <v>42</v>
      </c>
      <c r="D20" s="29">
        <v>0.85</v>
      </c>
      <c r="E20" s="29">
        <f>D20*C20</f>
        <v>35.699999999999996</v>
      </c>
      <c r="F20" s="29">
        <v>2</v>
      </c>
      <c r="G20" s="29">
        <f>F20*E20</f>
        <v>71.399999999999991</v>
      </c>
      <c r="H20" s="92">
        <f>G20/6</f>
        <v>11.899999999999999</v>
      </c>
      <c r="I20" s="29"/>
      <c r="J20" s="92">
        <f>H20</f>
        <v>11.899999999999999</v>
      </c>
      <c r="K20" s="29"/>
      <c r="L20" s="29">
        <f t="shared" si="0"/>
        <v>0</v>
      </c>
    </row>
    <row r="21" spans="1:12">
      <c r="A21" s="29"/>
      <c r="B21" s="29" t="s">
        <v>231</v>
      </c>
      <c r="C21" s="29">
        <f>C19*C20</f>
        <v>252</v>
      </c>
      <c r="D21" s="29">
        <v>0.2</v>
      </c>
      <c r="E21" s="29">
        <f>D21*C21</f>
        <v>50.400000000000006</v>
      </c>
      <c r="F21" s="29">
        <v>2</v>
      </c>
      <c r="G21" s="29">
        <f>F21*E21</f>
        <v>100.80000000000001</v>
      </c>
      <c r="H21" s="29"/>
      <c r="I21" s="29"/>
      <c r="J21" s="29"/>
      <c r="K21" s="29">
        <f>G21</f>
        <v>100.80000000000001</v>
      </c>
      <c r="L21" s="29">
        <f t="shared" si="0"/>
        <v>4.2</v>
      </c>
    </row>
    <row r="22" spans="1:12">
      <c r="L22">
        <f t="shared" si="0"/>
        <v>0</v>
      </c>
    </row>
    <row r="23" spans="1:12">
      <c r="A23" s="30" t="s">
        <v>236</v>
      </c>
      <c r="B23" s="30" t="s">
        <v>233</v>
      </c>
      <c r="C23" s="30">
        <v>4</v>
      </c>
      <c r="D23" s="30">
        <f>A24</f>
        <v>5.4</v>
      </c>
      <c r="E23" s="30">
        <f t="shared" ref="E23:E43" si="3">D23*C23</f>
        <v>21.6</v>
      </c>
      <c r="F23" s="30">
        <v>3</v>
      </c>
      <c r="G23" s="30">
        <f t="shared" ref="G23:G43" si="4">F23*E23</f>
        <v>64.800000000000011</v>
      </c>
      <c r="H23" s="121">
        <f>G23/9</f>
        <v>7.2000000000000011</v>
      </c>
      <c r="I23" s="121">
        <f>H23</f>
        <v>7.2000000000000011</v>
      </c>
      <c r="J23" s="30"/>
      <c r="K23" s="30"/>
      <c r="L23" s="30">
        <f t="shared" si="0"/>
        <v>0</v>
      </c>
    </row>
    <row r="24" spans="1:12">
      <c r="A24" s="123">
        <f>A16</f>
        <v>5.4</v>
      </c>
      <c r="B24" s="30" t="s">
        <v>215</v>
      </c>
      <c r="C24" s="30">
        <f>D23/0.2+8</f>
        <v>35</v>
      </c>
      <c r="D24" s="30">
        <v>0.85</v>
      </c>
      <c r="E24" s="30">
        <f t="shared" si="3"/>
        <v>29.75</v>
      </c>
      <c r="F24" s="30">
        <v>3</v>
      </c>
      <c r="G24" s="30">
        <f t="shared" si="4"/>
        <v>89.25</v>
      </c>
      <c r="H24" s="122">
        <f>G24/6</f>
        <v>14.875</v>
      </c>
      <c r="I24" s="30"/>
      <c r="J24" s="122">
        <f>H24</f>
        <v>14.875</v>
      </c>
      <c r="K24" s="30"/>
      <c r="L24" s="30">
        <f t="shared" si="0"/>
        <v>0</v>
      </c>
    </row>
    <row r="25" spans="1:12">
      <c r="A25" s="30"/>
      <c r="B25" s="30" t="s">
        <v>231</v>
      </c>
      <c r="C25" s="30">
        <f>C23*C24</f>
        <v>140</v>
      </c>
      <c r="D25" s="30">
        <v>0.2</v>
      </c>
      <c r="E25" s="30">
        <f t="shared" si="3"/>
        <v>28</v>
      </c>
      <c r="F25" s="30">
        <v>3</v>
      </c>
      <c r="G25" s="30">
        <f t="shared" si="4"/>
        <v>84</v>
      </c>
      <c r="H25" s="30"/>
      <c r="I25" s="30"/>
      <c r="J25" s="30"/>
      <c r="K25" s="30">
        <f>G25</f>
        <v>84</v>
      </c>
      <c r="L25" s="30">
        <f t="shared" si="0"/>
        <v>3.5</v>
      </c>
    </row>
    <row r="26" spans="1:12">
      <c r="L26">
        <f t="shared" si="0"/>
        <v>0</v>
      </c>
    </row>
    <row r="27" spans="1:12">
      <c r="A27" s="30" t="s">
        <v>237</v>
      </c>
      <c r="B27" s="30" t="s">
        <v>233</v>
      </c>
      <c r="C27" s="30">
        <v>4</v>
      </c>
      <c r="D27" s="30">
        <f>A28</f>
        <v>6.8</v>
      </c>
      <c r="E27" s="30">
        <f t="shared" si="3"/>
        <v>27.2</v>
      </c>
      <c r="F27" s="30">
        <v>2</v>
      </c>
      <c r="G27" s="30">
        <f t="shared" si="4"/>
        <v>54.4</v>
      </c>
      <c r="H27" s="121">
        <f>G27/9</f>
        <v>6.0444444444444443</v>
      </c>
      <c r="I27" s="121">
        <f>H27</f>
        <v>6.0444444444444443</v>
      </c>
      <c r="J27" s="30"/>
      <c r="K27" s="30"/>
      <c r="L27" s="30">
        <f t="shared" si="0"/>
        <v>0</v>
      </c>
    </row>
    <row r="28" spans="1:12">
      <c r="A28" s="123">
        <f>A20</f>
        <v>6.8</v>
      </c>
      <c r="B28" s="30" t="s">
        <v>215</v>
      </c>
      <c r="C28" s="30">
        <f>D27/0.2+8</f>
        <v>42</v>
      </c>
      <c r="D28" s="30">
        <v>0.85</v>
      </c>
      <c r="E28" s="30">
        <f t="shared" si="3"/>
        <v>35.699999999999996</v>
      </c>
      <c r="F28" s="30">
        <v>2</v>
      </c>
      <c r="G28" s="30">
        <f t="shared" si="4"/>
        <v>71.399999999999991</v>
      </c>
      <c r="H28" s="122">
        <f>G28/6</f>
        <v>11.899999999999999</v>
      </c>
      <c r="I28" s="30"/>
      <c r="J28" s="122">
        <f>H28</f>
        <v>11.899999999999999</v>
      </c>
      <c r="K28" s="30"/>
      <c r="L28" s="30">
        <f t="shared" si="0"/>
        <v>0</v>
      </c>
    </row>
    <row r="29" spans="1:12">
      <c r="A29" s="30"/>
      <c r="B29" s="30" t="s">
        <v>231</v>
      </c>
      <c r="C29" s="30">
        <f>C27*C28</f>
        <v>168</v>
      </c>
      <c r="D29" s="30">
        <v>0.2</v>
      </c>
      <c r="E29" s="30">
        <f t="shared" si="3"/>
        <v>33.6</v>
      </c>
      <c r="F29" s="30">
        <v>2</v>
      </c>
      <c r="G29" s="30">
        <f t="shared" si="4"/>
        <v>67.2</v>
      </c>
      <c r="H29" s="30"/>
      <c r="I29" s="30"/>
      <c r="J29" s="30"/>
      <c r="K29" s="30">
        <f>G29</f>
        <v>67.2</v>
      </c>
      <c r="L29" s="30">
        <f t="shared" si="0"/>
        <v>2.8000000000000003</v>
      </c>
    </row>
    <row r="30" spans="1:12">
      <c r="L30">
        <f t="shared" si="0"/>
        <v>0</v>
      </c>
    </row>
    <row r="31" spans="1:12">
      <c r="A31" s="30" t="s">
        <v>238</v>
      </c>
      <c r="B31" s="30" t="s">
        <v>233</v>
      </c>
      <c r="C31" s="30">
        <v>2</v>
      </c>
      <c r="D31" s="30">
        <v>1.6</v>
      </c>
      <c r="E31" s="30">
        <f t="shared" si="3"/>
        <v>3.2</v>
      </c>
      <c r="F31" s="30">
        <v>4</v>
      </c>
      <c r="G31" s="30">
        <f t="shared" si="4"/>
        <v>12.8</v>
      </c>
      <c r="H31" s="121">
        <f>G31/9</f>
        <v>1.4222222222222223</v>
      </c>
      <c r="I31" s="121">
        <f>H31</f>
        <v>1.4222222222222223</v>
      </c>
      <c r="J31" s="30"/>
      <c r="K31" s="30"/>
      <c r="L31" s="30">
        <f t="shared" si="0"/>
        <v>0</v>
      </c>
    </row>
    <row r="32" spans="1:12">
      <c r="A32" s="30" t="s">
        <v>239</v>
      </c>
      <c r="B32" s="30" t="s">
        <v>233</v>
      </c>
      <c r="C32" s="30">
        <v>4</v>
      </c>
      <c r="D32" s="30">
        <v>1.4</v>
      </c>
      <c r="E32" s="30">
        <f t="shared" si="3"/>
        <v>5.6</v>
      </c>
      <c r="F32" s="30">
        <v>4</v>
      </c>
      <c r="G32" s="30">
        <f t="shared" si="4"/>
        <v>22.4</v>
      </c>
      <c r="H32" s="121">
        <f>G32/9</f>
        <v>2.4888888888888889</v>
      </c>
      <c r="I32" s="121">
        <f>H32</f>
        <v>2.4888888888888889</v>
      </c>
      <c r="J32" s="30"/>
      <c r="K32" s="30"/>
      <c r="L32" s="30">
        <f t="shared" si="0"/>
        <v>0</v>
      </c>
    </row>
    <row r="33" spans="1:12">
      <c r="A33" s="30" t="s">
        <v>240</v>
      </c>
      <c r="B33" s="30" t="s">
        <v>231</v>
      </c>
      <c r="C33" s="30">
        <f>C31*C32</f>
        <v>8</v>
      </c>
      <c r="D33" s="30">
        <v>0.2</v>
      </c>
      <c r="E33" s="30">
        <f t="shared" si="3"/>
        <v>1.6</v>
      </c>
      <c r="F33" s="30">
        <v>4</v>
      </c>
      <c r="G33" s="30">
        <f t="shared" si="4"/>
        <v>6.4</v>
      </c>
      <c r="H33" s="30"/>
      <c r="I33" s="30"/>
      <c r="J33" s="30"/>
      <c r="K33" s="30">
        <f>G33</f>
        <v>6.4</v>
      </c>
      <c r="L33" s="30">
        <f t="shared" si="0"/>
        <v>0.26666666666666666</v>
      </c>
    </row>
    <row r="34" spans="1:12">
      <c r="L34">
        <f t="shared" si="0"/>
        <v>0</v>
      </c>
    </row>
    <row r="35" spans="1:12">
      <c r="A35" s="29" t="s">
        <v>241</v>
      </c>
      <c r="B35" s="29" t="s">
        <v>233</v>
      </c>
      <c r="C35" s="29">
        <v>3</v>
      </c>
      <c r="D35" s="29">
        <v>1.6</v>
      </c>
      <c r="E35" s="29">
        <f t="shared" si="3"/>
        <v>4.8000000000000007</v>
      </c>
      <c r="F35" s="29">
        <v>4</v>
      </c>
      <c r="G35" s="29">
        <f t="shared" si="4"/>
        <v>19.200000000000003</v>
      </c>
      <c r="H35" s="29">
        <f>G35/9</f>
        <v>2.1333333333333337</v>
      </c>
      <c r="I35" s="29">
        <f>H35</f>
        <v>2.1333333333333337</v>
      </c>
      <c r="J35" s="29"/>
      <c r="K35" s="29"/>
      <c r="L35" s="29">
        <f t="shared" si="0"/>
        <v>0</v>
      </c>
    </row>
    <row r="36" spans="1:12">
      <c r="A36" s="29" t="s">
        <v>242</v>
      </c>
      <c r="B36" s="29" t="s">
        <v>233</v>
      </c>
      <c r="C36" s="29">
        <v>6</v>
      </c>
      <c r="D36" s="29">
        <v>1.4</v>
      </c>
      <c r="E36" s="29">
        <f t="shared" si="3"/>
        <v>8.3999999999999986</v>
      </c>
      <c r="F36" s="29">
        <v>4</v>
      </c>
      <c r="G36" s="29">
        <f t="shared" si="4"/>
        <v>33.599999999999994</v>
      </c>
      <c r="H36" s="29">
        <f>G36/9</f>
        <v>3.7333333333333325</v>
      </c>
      <c r="I36" s="29">
        <f>H36</f>
        <v>3.7333333333333325</v>
      </c>
      <c r="J36" s="29"/>
      <c r="K36" s="29"/>
      <c r="L36" s="29">
        <f t="shared" si="0"/>
        <v>0</v>
      </c>
    </row>
    <row r="37" spans="1:12">
      <c r="A37" s="29" t="s">
        <v>240</v>
      </c>
      <c r="B37" s="29" t="s">
        <v>231</v>
      </c>
      <c r="C37" s="29">
        <f>(C36+C35)*10</f>
        <v>90</v>
      </c>
      <c r="D37" s="29">
        <v>0.2</v>
      </c>
      <c r="E37" s="29">
        <f t="shared" si="3"/>
        <v>18</v>
      </c>
      <c r="F37" s="29">
        <v>4</v>
      </c>
      <c r="G37" s="29">
        <f t="shared" si="4"/>
        <v>72</v>
      </c>
      <c r="H37" s="29"/>
      <c r="I37" s="29"/>
      <c r="J37" s="29"/>
      <c r="K37" s="29">
        <f>G37</f>
        <v>72</v>
      </c>
      <c r="L37" s="29">
        <f t="shared" si="0"/>
        <v>3</v>
      </c>
    </row>
    <row r="38" spans="1:12">
      <c r="L38">
        <f t="shared" si="0"/>
        <v>0</v>
      </c>
    </row>
    <row r="39" spans="1:12">
      <c r="A39" s="30" t="s">
        <v>243</v>
      </c>
      <c r="B39" s="30" t="s">
        <v>233</v>
      </c>
      <c r="C39" s="30">
        <v>4</v>
      </c>
      <c r="D39" s="30">
        <v>1.4</v>
      </c>
      <c r="E39" s="30">
        <f t="shared" si="3"/>
        <v>5.6</v>
      </c>
      <c r="F39" s="30">
        <v>6</v>
      </c>
      <c r="G39" s="30">
        <f t="shared" si="4"/>
        <v>33.599999999999994</v>
      </c>
      <c r="H39" s="121">
        <f>G39/9</f>
        <v>3.7333333333333325</v>
      </c>
      <c r="I39" s="121">
        <f>H39</f>
        <v>3.7333333333333325</v>
      </c>
      <c r="J39" s="30"/>
      <c r="K39" s="30"/>
      <c r="L39" s="30">
        <f t="shared" si="0"/>
        <v>0</v>
      </c>
    </row>
    <row r="40" spans="1:12">
      <c r="A40" s="30" t="s">
        <v>244</v>
      </c>
      <c r="B40" s="30" t="s">
        <v>231</v>
      </c>
      <c r="C40" s="30">
        <f>C39*10</f>
        <v>40</v>
      </c>
      <c r="D40" s="30">
        <v>0.2</v>
      </c>
      <c r="E40" s="30">
        <f t="shared" si="3"/>
        <v>8</v>
      </c>
      <c r="F40" s="30">
        <v>6</v>
      </c>
      <c r="G40" s="30">
        <f t="shared" si="4"/>
        <v>48</v>
      </c>
      <c r="H40" s="30"/>
      <c r="I40" s="30"/>
      <c r="J40" s="30"/>
      <c r="K40" s="30">
        <f>G40</f>
        <v>48</v>
      </c>
      <c r="L40" s="30">
        <f t="shared" si="0"/>
        <v>2</v>
      </c>
    </row>
    <row r="41" spans="1:12">
      <c r="L41">
        <f t="shared" si="0"/>
        <v>0</v>
      </c>
    </row>
    <row r="42" spans="1:12">
      <c r="A42" s="29" t="s">
        <v>245</v>
      </c>
      <c r="B42" s="29" t="s">
        <v>233</v>
      </c>
      <c r="C42" s="29">
        <v>6</v>
      </c>
      <c r="D42" s="29">
        <v>1.5</v>
      </c>
      <c r="E42" s="29">
        <f t="shared" si="3"/>
        <v>9</v>
      </c>
      <c r="F42" s="29">
        <v>6</v>
      </c>
      <c r="G42" s="29">
        <f t="shared" si="4"/>
        <v>54</v>
      </c>
      <c r="H42" s="29">
        <f>G42/9</f>
        <v>6</v>
      </c>
      <c r="I42" s="29">
        <f>H42</f>
        <v>6</v>
      </c>
      <c r="J42" s="29"/>
      <c r="K42" s="29"/>
      <c r="L42" s="29">
        <f t="shared" si="0"/>
        <v>0</v>
      </c>
    </row>
    <row r="43" spans="1:12">
      <c r="A43" s="29" t="s">
        <v>244</v>
      </c>
      <c r="B43" s="29" t="s">
        <v>231</v>
      </c>
      <c r="C43" s="29">
        <f>C42*10</f>
        <v>60</v>
      </c>
      <c r="D43" s="29">
        <v>0.2</v>
      </c>
      <c r="E43" s="29">
        <f t="shared" si="3"/>
        <v>12</v>
      </c>
      <c r="F43" s="29">
        <v>6</v>
      </c>
      <c r="G43" s="29">
        <f t="shared" si="4"/>
        <v>72</v>
      </c>
      <c r="H43" s="29"/>
      <c r="I43" s="29"/>
      <c r="J43" s="29"/>
      <c r="K43" s="29">
        <f>G43</f>
        <v>72</v>
      </c>
      <c r="L43" s="29">
        <f t="shared" si="0"/>
        <v>3</v>
      </c>
    </row>
    <row r="45" spans="1:12">
      <c r="A45" t="s">
        <v>246</v>
      </c>
      <c r="B45" t="s">
        <v>144</v>
      </c>
      <c r="C45" s="28">
        <f>A20/0.3+4</f>
        <v>26.666666666666668</v>
      </c>
      <c r="D45">
        <f>A16+0.3</f>
        <v>5.7</v>
      </c>
      <c r="E45">
        <f>D45*C45</f>
        <v>152</v>
      </c>
      <c r="F45">
        <v>1</v>
      </c>
      <c r="G45" s="28">
        <f>F45*E45</f>
        <v>152</v>
      </c>
      <c r="H45" s="142">
        <f>G45/9</f>
        <v>16.888888888888889</v>
      </c>
      <c r="I45" s="28">
        <f>H45</f>
        <v>16.888888888888889</v>
      </c>
    </row>
    <row r="46" spans="1:12">
      <c r="A46" t="s">
        <v>247</v>
      </c>
      <c r="B46" t="s">
        <v>144</v>
      </c>
      <c r="C46">
        <f>A16/0.3+2</f>
        <v>20.000000000000004</v>
      </c>
      <c r="D46">
        <f>A28+0.3</f>
        <v>7.1</v>
      </c>
      <c r="E46">
        <f>D46*C46</f>
        <v>142.00000000000003</v>
      </c>
      <c r="F46">
        <v>1</v>
      </c>
      <c r="G46" s="28">
        <f>F46*E46</f>
        <v>142.00000000000003</v>
      </c>
      <c r="H46" s="142">
        <f>G46/9</f>
        <v>15.77777777777778</v>
      </c>
      <c r="I46" s="28">
        <f>H46</f>
        <v>15.77777777777778</v>
      </c>
    </row>
    <row r="47" spans="1:12">
      <c r="B47" t="s">
        <v>231</v>
      </c>
      <c r="C47">
        <f>C46*C45</f>
        <v>533.33333333333348</v>
      </c>
      <c r="D47">
        <v>0.2</v>
      </c>
      <c r="E47">
        <f>D47*C47</f>
        <v>106.6666666666667</v>
      </c>
      <c r="F47">
        <v>1</v>
      </c>
      <c r="G47" s="28">
        <f>F47*E47</f>
        <v>106.6666666666667</v>
      </c>
      <c r="K47" s="29">
        <f>G47</f>
        <v>106.6666666666667</v>
      </c>
      <c r="L47" s="29">
        <f>K47/24</f>
        <v>4.4444444444444455</v>
      </c>
    </row>
    <row r="49" spans="1:12">
      <c r="A49" t="s">
        <v>248</v>
      </c>
      <c r="B49" t="s">
        <v>144</v>
      </c>
      <c r="C49" s="28">
        <f>A20/0.2+4</f>
        <v>38</v>
      </c>
      <c r="D49">
        <f>A16+0.4</f>
        <v>5.8000000000000007</v>
      </c>
      <c r="E49">
        <f>D49*C49</f>
        <v>220.40000000000003</v>
      </c>
      <c r="F49">
        <v>1</v>
      </c>
      <c r="G49" s="28">
        <f>F49*E49</f>
        <v>220.40000000000003</v>
      </c>
      <c r="H49" s="142">
        <f>G49/9</f>
        <v>24.488888888888894</v>
      </c>
      <c r="I49" s="28">
        <f>H49</f>
        <v>24.488888888888894</v>
      </c>
    </row>
    <row r="50" spans="1:12">
      <c r="A50" t="s">
        <v>249</v>
      </c>
      <c r="B50" t="s">
        <v>144</v>
      </c>
      <c r="C50">
        <f>A16/0.2+2</f>
        <v>29</v>
      </c>
      <c r="D50">
        <f>A28+0.4</f>
        <v>7.2</v>
      </c>
      <c r="E50">
        <f>D50*C50</f>
        <v>208.8</v>
      </c>
      <c r="F50">
        <v>1</v>
      </c>
      <c r="G50" s="28">
        <f>F50*E50</f>
        <v>208.8</v>
      </c>
      <c r="H50" s="142">
        <f>G50/9</f>
        <v>23.200000000000003</v>
      </c>
      <c r="I50" s="28">
        <f>H50</f>
        <v>23.200000000000003</v>
      </c>
    </row>
    <row r="51" spans="1:12">
      <c r="B51" t="s">
        <v>231</v>
      </c>
      <c r="C51">
        <f>C50*C49</f>
        <v>1102</v>
      </c>
      <c r="D51">
        <v>0.2</v>
      </c>
      <c r="E51">
        <f>D51*C51</f>
        <v>220.4</v>
      </c>
      <c r="F51">
        <v>1</v>
      </c>
      <c r="G51" s="28">
        <f>F51*E51</f>
        <v>220.4</v>
      </c>
      <c r="K51" s="29">
        <f>G51</f>
        <v>220.4</v>
      </c>
      <c r="L51" s="29">
        <f>K51/24</f>
        <v>9.1833333333333336</v>
      </c>
    </row>
    <row r="56" spans="1:12">
      <c r="I56" s="28">
        <f>SUM(I6:I52)</f>
        <v>151.57777777777778</v>
      </c>
      <c r="J56" s="28">
        <f>SUM(J6:J52)</f>
        <v>81.599999999999994</v>
      </c>
      <c r="K56" s="28">
        <f>SUM(K6:K52)</f>
        <v>1070.8666666666668</v>
      </c>
      <c r="L56" s="28">
        <f>K56/24</f>
        <v>44.619444444444447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65536"/>
    </sheetView>
  </sheetViews>
  <sheetFormatPr defaultColWidth="11.42578125"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I1"/>
  <sheetViews>
    <sheetView workbookViewId="0">
      <selection sqref="A1:IV65536"/>
    </sheetView>
  </sheetViews>
  <sheetFormatPr defaultColWidth="11.42578125" defaultRowHeight="12.75"/>
  <cols>
    <col min="1" max="8" width="11.42578125" customWidth="1"/>
    <col min="9" max="9" width="11.42578125" style="90" customWidth="1"/>
  </cols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materiaux</vt:lpstr>
      <vt:lpstr>Détail coût</vt:lpstr>
      <vt:lpstr>fer</vt:lpstr>
      <vt:lpstr>bois</vt:lpstr>
      <vt:lpstr>bois2</vt:lpstr>
      <vt:lpstr>'Détail coût'!Print_Area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Hydrau Cahos</dc:creator>
  <cp:lastModifiedBy>user</cp:lastModifiedBy>
  <cp:revision/>
  <dcterms:created xsi:type="dcterms:W3CDTF">2012-07-10T14:03:28Z</dcterms:created>
  <dcterms:modified xsi:type="dcterms:W3CDTF">2016-04-13T21:46:17Z</dcterms:modified>
</cp:coreProperties>
</file>